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75" windowWidth="11355" windowHeight="8580" tabRatio="825" firstSheet="5" activeTab="26"/>
  </bookViews>
  <sheets>
    <sheet name="SOR RATE" sheetId="1" r:id="rId1"/>
    <sheet name="D-1" sheetId="2" r:id="rId2"/>
    <sheet name="D-2" sheetId="3" r:id="rId3"/>
    <sheet name="D-3" sheetId="4" r:id="rId4"/>
    <sheet name="D-4" sheetId="5" r:id="rId5"/>
    <sheet name="D-5" sheetId="6" r:id="rId6"/>
    <sheet name="D-6 (1)" sheetId="7" r:id="rId7"/>
    <sheet name="D-6 (2)" sheetId="8" r:id="rId8"/>
    <sheet name="D-6 (3)" sheetId="9" r:id="rId9"/>
    <sheet name="D-6 (4)" sheetId="10" r:id="rId10"/>
    <sheet name="D-6 (A)" sheetId="11" r:id="rId11"/>
    <sheet name="D-6 (B)" sheetId="12" r:id="rId12"/>
    <sheet name="D-7" sheetId="13" r:id="rId13"/>
    <sheet name="D-8" sheetId="14" r:id="rId14"/>
    <sheet name="D-9" sheetId="15" r:id="rId15"/>
    <sheet name="D-10" sheetId="16" r:id="rId16"/>
    <sheet name="D-11" sheetId="17" r:id="rId17"/>
    <sheet name="D-12" sheetId="18" r:id="rId18"/>
    <sheet name="D-13" sheetId="19" r:id="rId19"/>
    <sheet name="D-14" sheetId="20" r:id="rId20"/>
    <sheet name="D-15" sheetId="21" r:id="rId21"/>
    <sheet name="E-1" sheetId="22" r:id="rId22"/>
    <sheet name="E-2" sheetId="23" r:id="rId23"/>
    <sheet name="E-3" sheetId="24" r:id="rId24"/>
    <sheet name="E-4" sheetId="25" r:id="rId25"/>
    <sheet name="E-5" sheetId="26" r:id="rId26"/>
    <sheet name="E-6" sheetId="27" r:id="rId27"/>
  </sheets>
  <externalReferences>
    <externalReference r:id="rId30"/>
    <externalReference r:id="rId31"/>
  </externalReferences>
  <definedNames>
    <definedName name="_xlnm.Print_Area" localSheetId="5">'D-5'!$A$1:$K$43</definedName>
    <definedName name="_xlnm.Print_Titles" localSheetId="1">'D-1'!$7:$9</definedName>
    <definedName name="_xlnm.Print_Titles" localSheetId="15">'D-10'!$6:$7</definedName>
    <definedName name="_xlnm.Print_Titles" localSheetId="17">'D-12'!$5:$6</definedName>
    <definedName name="_xlnm.Print_Titles" localSheetId="18">'D-13'!$7:$8</definedName>
    <definedName name="_xlnm.Print_Titles" localSheetId="20">'D-15'!$7:$9</definedName>
    <definedName name="_xlnm.Print_Titles" localSheetId="2">'D-2'!$7:$9</definedName>
    <definedName name="_xlnm.Print_Titles" localSheetId="3">'D-3'!$7:$11</definedName>
    <definedName name="_xlnm.Print_Titles" localSheetId="4">'D-4'!$5:$7</definedName>
    <definedName name="_xlnm.Print_Titles" localSheetId="5">'D-5'!$6:$10</definedName>
    <definedName name="_xlnm.Print_Titles" localSheetId="6">'D-6 (1)'!$6:$9</definedName>
    <definedName name="_xlnm.Print_Titles" localSheetId="7">'D-6 (2)'!$7:$8</definedName>
    <definedName name="_xlnm.Print_Titles" localSheetId="8">'D-6 (3)'!$6:$8</definedName>
    <definedName name="_xlnm.Print_Titles" localSheetId="9">'D-6 (4)'!$5:$7</definedName>
    <definedName name="_xlnm.Print_Titles" localSheetId="10">'D-6 (A)'!$6:$8</definedName>
    <definedName name="_xlnm.Print_Titles" localSheetId="12">'D-7'!$7:$8</definedName>
    <definedName name="_xlnm.Print_Titles" localSheetId="13">'D-8'!$7:$8</definedName>
    <definedName name="_xlnm.Print_Titles" localSheetId="14">'D-9'!$7:$8</definedName>
  </definedNames>
  <calcPr fullCalcOnLoad="1"/>
</workbook>
</file>

<file path=xl/sharedStrings.xml><?xml version="1.0" encoding="utf-8"?>
<sst xmlns="http://schemas.openxmlformats.org/spreadsheetml/2006/main" count="3557" uniqueCount="1449">
  <si>
    <t>33 kV Composite Disc insulator</t>
  </si>
  <si>
    <t>33 kV Pin insulator with Pin</t>
  </si>
  <si>
    <t>11 kV Pin insulator with Pin</t>
  </si>
  <si>
    <t>Strain H/W up to Rabbit.</t>
  </si>
  <si>
    <t>Strain H/W for Raccoon &amp; Dog.</t>
  </si>
  <si>
    <t>33 kV Polymer Lightning Arrestor</t>
  </si>
  <si>
    <t>11 kV Polymer Lightning Arrestor</t>
  </si>
  <si>
    <t>RUBBER HAND GLOVES</t>
  </si>
  <si>
    <t>CO2 TYPE EXTINGUISHER ,2 KG CAPACITY</t>
  </si>
  <si>
    <t>RAIN COATS WITH HOODS</t>
  </si>
  <si>
    <t>GUM BOOTS</t>
  </si>
  <si>
    <t>SILICA GEL</t>
  </si>
  <si>
    <t>POLYCARBONATE SEAL</t>
  </si>
  <si>
    <t>METTING RUBBER 1900X1800X12MM</t>
  </si>
  <si>
    <t>TRANSFORMER OIL In Tanker/barrel</t>
  </si>
  <si>
    <t>POLY CORBONATE SEAL DOUBLE ANKER TYPE</t>
  </si>
  <si>
    <t>HDPE PIPE 200MM ID; 240MM OD</t>
  </si>
  <si>
    <t>JOINTING ARRANGEMENT OF HDPE PIPE</t>
  </si>
  <si>
    <t>30 Volt 100 AH lead acid battery charger</t>
  </si>
  <si>
    <t>PVC INSULATION TAPES 19 MM WIDE AND IN R</t>
  </si>
  <si>
    <t xml:space="preserve">Strain Plate </t>
  </si>
  <si>
    <t>600 mm</t>
  </si>
  <si>
    <t>900 mm</t>
  </si>
  <si>
    <t>PARTICULARS</t>
  </si>
  <si>
    <t>Unit</t>
  </si>
  <si>
    <t>Qnty</t>
  </si>
  <si>
    <t>No</t>
  </si>
  <si>
    <t>--</t>
  </si>
  <si>
    <t>Cmt</t>
  </si>
  <si>
    <t xml:space="preserve">Red Oxide Paint </t>
  </si>
  <si>
    <t>Ltr</t>
  </si>
  <si>
    <t xml:space="preserve">Aluminium Paint </t>
  </si>
  <si>
    <t>Kg</t>
  </si>
  <si>
    <t>M.S. Nuts and Bolts</t>
  </si>
  <si>
    <t>Note:</t>
  </si>
  <si>
    <t>All the rates are with considering price variation clause.</t>
  </si>
  <si>
    <t>CT operated electronic static meter 100/5 Amp.</t>
  </si>
  <si>
    <t>Static 5.0-30 Amps Pilfer proof with transparent poly carbonate meter box.</t>
  </si>
  <si>
    <t xml:space="preserve">  70 Sqmm.</t>
  </si>
  <si>
    <t>120 Sq.mm.</t>
  </si>
  <si>
    <t xml:space="preserve">400 Sqmm. </t>
  </si>
  <si>
    <t>3x95 Sq.mm.</t>
  </si>
  <si>
    <t>3x150 Sq.mm.</t>
  </si>
  <si>
    <t>3x185 Sq.mm.</t>
  </si>
  <si>
    <t>3x240 Sq.mm.</t>
  </si>
  <si>
    <t>33 kV AB Cable Straight thru' joint kit suitable for 35-70 sqmm</t>
  </si>
  <si>
    <t>33 kV AB Cable Straight thru' joint kit suitable for 95-120 sqmm</t>
  </si>
  <si>
    <t>33 kV ABC Termination kit 35-70 sqmm</t>
  </si>
  <si>
    <t>33 kV ABC Termination kit 95-120 sqmm</t>
  </si>
  <si>
    <t>11 kV G.I. Pin</t>
  </si>
  <si>
    <t>LT 3 phase 5 Wire Aerial Bunched Cable of Size 3X25+1X16+1x25</t>
  </si>
  <si>
    <t>LT 3 phase 5 Wire Aerial Bunched Cable of Size 3X35+1x16+1x25</t>
  </si>
  <si>
    <t>LT 3 phase 5 Wire Aerial Bunched Cable of Size 3X50+1x16+1x35</t>
  </si>
  <si>
    <t>PORCELAIN KITKATS FUSE UNITS 16 AMPS</t>
  </si>
  <si>
    <t>PORCELAIN KIT-KATS FUSE UNITS 100 Amps.</t>
  </si>
  <si>
    <t>PORCELAIN KIT-KATS FUSE UNITS 200 Amps</t>
  </si>
  <si>
    <t>PORCELAIN KIT-KATS FUSE UNITS 300 Amps.</t>
  </si>
  <si>
    <t>12KV KIOSK TYPE OUTDOOR VACUUM CIRCUIT B</t>
  </si>
  <si>
    <t>TPN SWITCHES, 415 VOLTS: - 32 AMPS.</t>
  </si>
  <si>
    <t>TPN SWITCHES, 415 VOLTS: - 63 AMPS.</t>
  </si>
  <si>
    <t>TPN SWITCHES, 415 VOLTS: - 100 AMPS.</t>
  </si>
  <si>
    <t>TPN SWITCHES, 415 VOLTS: - 200 AMPS.</t>
  </si>
  <si>
    <t>TPN SWITCHES, 415 VOLTS: - 300 AMPS.</t>
  </si>
  <si>
    <t>TPN SWITCHES, 415 VOLTS: - 400 AMPS.</t>
  </si>
  <si>
    <t>DIST.BOARD &amp; DP MCB 4NO 6A&amp;2NO 16A</t>
  </si>
  <si>
    <t>33 KV 600AMPS WITH EARTH SWITCH ISOLATO</t>
  </si>
  <si>
    <t>29</t>
  </si>
  <si>
    <r>
      <t xml:space="preserve">Rate </t>
    </r>
    <r>
      <rPr>
        <b/>
        <sz val="10"/>
        <rFont val="Arial"/>
        <family val="2"/>
      </rPr>
      <t xml:space="preserve"> </t>
    </r>
  </si>
  <si>
    <t xml:space="preserve"> 2015-16</t>
  </si>
  <si>
    <t>T.C. Fuse Wire 16 SWG</t>
  </si>
  <si>
    <t>T.C. Fuse Wire 14 SWG</t>
  </si>
  <si>
    <t>T.C. Fuse Wire 12 SWG</t>
  </si>
  <si>
    <t>T.C. Fuse Wire 10 SWG</t>
  </si>
  <si>
    <t>Porcelain Kit-kat fuse unit 32 Amps.</t>
  </si>
  <si>
    <t>Porcelain Kit-kat fuse unit 63 Amps.</t>
  </si>
  <si>
    <t>25 kVA TRANSFORMER</t>
  </si>
  <si>
    <t>63 kVA TRANSFORMER</t>
  </si>
  <si>
    <t>100 kVA TRANSFORMER</t>
  </si>
  <si>
    <t>200 kVA TRANSFORMER</t>
  </si>
  <si>
    <t>Bin Code No.</t>
  </si>
  <si>
    <t>Rate</t>
  </si>
  <si>
    <t>Single Pole Cut Point Fitting 100x50 mm</t>
  </si>
  <si>
    <t>33 KV 5 FEET CENTRE DC CROSS ARM</t>
  </si>
  <si>
    <t>STRAIN PLATE</t>
  </si>
  <si>
    <t>33KV top clamp</t>
  </si>
  <si>
    <t>11KV top clamp</t>
  </si>
  <si>
    <t>11KV cut point channel paint</t>
  </si>
  <si>
    <t>33 KV 4.8 MTR DC CROSS ARM</t>
  </si>
  <si>
    <t>Stay clamp for 'H' Beam</t>
  </si>
  <si>
    <t>11KV 5KN PIN INSULATOR (POLYMER)</t>
  </si>
  <si>
    <t>33KV 10KN PIN INSULATOR (POLYMER)</t>
  </si>
  <si>
    <t>11KV 45KN DISC INSULATOR T&amp;C TYPE (POLYM</t>
  </si>
  <si>
    <t>33KV POLYMER (COMPOSITE) DISC INSULATOR</t>
  </si>
  <si>
    <t>Split insulators.</t>
  </si>
  <si>
    <t>11KV POST INSULATOR</t>
  </si>
  <si>
    <t>33KV POST INSULATOR</t>
  </si>
  <si>
    <t>Disc Insulator</t>
  </si>
  <si>
    <t xml:space="preserve">Concreting of stay @ 0.2 Cmt/stay </t>
  </si>
  <si>
    <t>I- Bolt 16 mm</t>
  </si>
  <si>
    <t>ACSR Weasel conductor for Reconductoring</t>
  </si>
  <si>
    <t>Labour charges [as per Sch. No.- DL-10]</t>
  </si>
  <si>
    <t>Note: All the rates are considering with price variation clause. Actual returnable material schedule may be prepared separately.</t>
  </si>
  <si>
    <t>COST SCHEDULE   D-8</t>
  </si>
  <si>
    <t>HVDS  SYSTEM  OF 100 kVA  PARENT  DTR  TAKING  3 KM.  LT  TO  BE  CONVERTED</t>
  </si>
  <si>
    <t>140 Kg 8 Mtr. Long PCC pole (for mid span)</t>
  </si>
  <si>
    <t>(ii) Stay Wire 7/10 (5.5 kg/stay)</t>
  </si>
  <si>
    <t>Transformer mounting cross arm DC channel 100x50x6 mm. 2.7 mtr long 8' centre</t>
  </si>
  <si>
    <t>DC Cross arm 100x50x6 mm 8 ' centre 2.7 mtr long</t>
  </si>
  <si>
    <t>DO mounting Channel</t>
  </si>
  <si>
    <t>11 kV Single pole cut point channel</t>
  </si>
  <si>
    <t>11 kV D.O. Set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</si>
  <si>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</si>
  <si>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</si>
  <si>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substation)</t>
  </si>
  <si>
    <t>(I) Cement @ 208 Kg/Cmt</t>
  </si>
  <si>
    <t>I - Bolt 16 mm</t>
  </si>
  <si>
    <t>Labour charges [as per Sch. No.- DL-11]</t>
  </si>
  <si>
    <t>COST SCHEDULE   D-9</t>
  </si>
  <si>
    <t>HVDS  SYSTEM  OF  63  kVA  PARENT  DTR  TAKING  2 KM.  LT  TO  BE  CONVERTED</t>
  </si>
  <si>
    <t>(ii) Stay Wire 7/10 SWG (5.5 kg/stay)</t>
  </si>
  <si>
    <t>(iii) Stay Clamp for 140 kg PCC Pole</t>
  </si>
  <si>
    <t>Jointing sleeve for Raccoon Conductor.</t>
  </si>
  <si>
    <t>Jointing sleeve for Dog Conductor.</t>
  </si>
  <si>
    <t>Bimetallic clamp for Power Transformer</t>
  </si>
  <si>
    <t>Bimetallic clamp for VCB</t>
  </si>
  <si>
    <t>Bimetallic clamp for CT-PT Unit</t>
  </si>
  <si>
    <t>Cable tie (UV protected black colour) for AB Cable (at every two meter)</t>
  </si>
  <si>
    <t>Note:-</t>
  </si>
  <si>
    <t>End terminating jointing kit for 240 sqmm XLPE cable</t>
  </si>
  <si>
    <t>AB Switch with complete fitting 11 KV</t>
  </si>
  <si>
    <t>AB SWITCH WITH COMPLETE FITTING. 33 KV</t>
  </si>
  <si>
    <t>DO fuse units 11KV</t>
  </si>
  <si>
    <t>D.O. FUSE UNITS 33 KV</t>
  </si>
  <si>
    <t>ISOLATORS COMPLETE SET11 KV; 600 Amps.</t>
  </si>
  <si>
    <t>33 KV Isolator 800A without earth switch</t>
  </si>
  <si>
    <t>METER MVAR 50-0-50 32 CTR-400/1,PTR-132</t>
  </si>
  <si>
    <t>MOULDED CASE CIRCUIT BREAKER 250/300A</t>
  </si>
  <si>
    <t>11 KV VCB without control panel &amp; CT's.</t>
  </si>
  <si>
    <t>33KV VCB FOR 30 VOLT DC</t>
  </si>
  <si>
    <t>DISTRIBUTION BOX 1 PH 4 CONNECTOR</t>
  </si>
  <si>
    <t>DISTRIBUTION BOX 1 PH 9 CONNECTOR</t>
  </si>
  <si>
    <t>DISTRIBUTION BOX 3 PH 2 CONNECTOR</t>
  </si>
  <si>
    <t>DISTRIBUTION BOX 3 PH 4 CONNECTOR</t>
  </si>
  <si>
    <t>SPRING LOADED DIST. BOX FOR SERVICE CONN</t>
  </si>
  <si>
    <t>DISTRIBUTION BOX FOR MCCB TYPE 63 KVA TR</t>
  </si>
  <si>
    <t>DISTRIBUTION BOX FOR MSEB TYPE 100 KVA T</t>
  </si>
  <si>
    <t>DISTRIBUTION BOX FOR 200KVA TRANSFORMER</t>
  </si>
  <si>
    <t>DISTRIBUTION BOX FOR 315 KVA XMER WITH F</t>
  </si>
  <si>
    <t>33KV CONTROL &amp; RELAY PANEL- FEEDER CONTR</t>
  </si>
  <si>
    <t>33KV CONTROL &amp; RELAY PANEL- TRANSFORMER</t>
  </si>
  <si>
    <t>11KV CONTROL &amp; RELAY PANEL- FEEDER CONTR</t>
  </si>
  <si>
    <t>11KV CONTROL &amp; RELAY PANEL- TRANSFORMER</t>
  </si>
  <si>
    <t>11KV MULTICIRCUIT(2F) CONTROL PANNELS (S</t>
  </si>
  <si>
    <t>11KV MULTICIRCUIT ONE TRANSFORMER &amp; ONE</t>
  </si>
  <si>
    <t>33KV MULTICIRCUIT ONE TRANSFORMER &amp; ONE</t>
  </si>
  <si>
    <t>FIBER GLASS DISCHARGE ROD</t>
  </si>
  <si>
    <t>PLIER COMBINATION SIDE CUTTING 200 MM</t>
  </si>
  <si>
    <t>SCREW DRIVER 250MM</t>
  </si>
  <si>
    <t>SCREW DRIVER 200MM</t>
  </si>
  <si>
    <t>UNIT</t>
  </si>
  <si>
    <t>RM (light)</t>
  </si>
  <si>
    <t>Distribution box 1 phase 9 connectors along with 2 Nos. Steel Strap &amp; Buckles</t>
  </si>
  <si>
    <t>16 SQMM ALUMINIUM END TERMINALS (LUGS)</t>
  </si>
  <si>
    <t>50 SQMM ALUMINIUM END TERMINALS (LUGS)</t>
  </si>
  <si>
    <t>70 SQMM ALUMINIUM END TERMINALS (LUGS)</t>
  </si>
  <si>
    <t>95 SQMM ALUMINIUM END TERMINALS (LUGS)</t>
  </si>
  <si>
    <t>120 SQMM ALUMINIUM END TERMINALS (LUGS)</t>
  </si>
  <si>
    <t>150 SQMM ALUMINIUM END TERMINALS (LUGS)</t>
  </si>
  <si>
    <t>300 SQMM ALUMINIUM END TERMINALS (LUGS)</t>
  </si>
  <si>
    <t>PRE- INSULATED BIMETALLIC CRIMPING TYPE</t>
  </si>
  <si>
    <t>INSULATING PIERCING CONNECTOR AB CABLE(S</t>
  </si>
  <si>
    <t>INSULATING PIERCING CONNECTOR FOR AB CAB</t>
  </si>
  <si>
    <t>G.I. Wire 8 SWG</t>
  </si>
  <si>
    <t>Distribution box 1 phase 9 connectors</t>
  </si>
  <si>
    <t>LT 1 phase 3 Wire AB XLPE Cable 1x25 + 1x16 + 1x25 sqmm. (6% sag)</t>
  </si>
  <si>
    <t>PVC insulated single core 16 sq.mm. cable @ 3 mtr. per 1 phase box</t>
  </si>
  <si>
    <t>26</t>
  </si>
  <si>
    <t>Labour charges as per schedule DL-8</t>
  </si>
  <si>
    <t>Qty.</t>
  </si>
  <si>
    <t>HDPE Pipe 200 mm ID; 240 mm OD</t>
  </si>
  <si>
    <t>Jointing arrangement of HDPE Pipe</t>
  </si>
  <si>
    <t>G.I. Pipe 200 mm for 400 mm cable of dia 105 mm</t>
  </si>
  <si>
    <t>Caping of HDPE Pipe on both end of pipe with concreting and bricks work.</t>
  </si>
  <si>
    <t>M.S.Pipe 200 mm dia with collars</t>
  </si>
  <si>
    <t>River sand</t>
  </si>
  <si>
    <t>Cement in 50 kg bags</t>
  </si>
  <si>
    <t>Bags</t>
  </si>
  <si>
    <t>Route &amp; joint indicating stone with M.S. anchor rod</t>
  </si>
  <si>
    <t>Cable covering tiles 250x250x40 mm</t>
  </si>
  <si>
    <t>Per 1000</t>
  </si>
  <si>
    <t>(ii) G.I. Wire 8 SWG</t>
  </si>
  <si>
    <t>S. No.</t>
  </si>
  <si>
    <t>16x65 mm</t>
  </si>
  <si>
    <t>16x90 mm</t>
  </si>
  <si>
    <t>16x140 mm</t>
  </si>
  <si>
    <t>16x160 mm</t>
  </si>
  <si>
    <t>16x200 mm</t>
  </si>
  <si>
    <t>Cement @ 208 Kg/Cmt</t>
  </si>
  <si>
    <t xml:space="preserve">S. No. </t>
  </si>
  <si>
    <t>LT 3 phase 5 Wire Aerial Bunched Cable of Size 3X95+1x16+1x50</t>
  </si>
  <si>
    <t>LT 3 phase 5 Wire Aerial Bunched Cable of Size 3X95+1x16+1x70</t>
  </si>
  <si>
    <t>0.02 Sq.inch (20 Sqmm Al. Eq.) (Squirrel)</t>
  </si>
  <si>
    <t>0.03 Sq.inch (30 Sqmm Al. Eq.) (Weasel)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</si>
  <si>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</si>
  <si>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</si>
  <si>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</si>
  <si>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</si>
  <si>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t>0.02 Sq.inch (20/22 Sqmm Al. Eq.) (Squirrel)</t>
  </si>
  <si>
    <t>0.03 Sq.inch (30/34 Sqmm Al. Eq.) (Weasel)</t>
  </si>
  <si>
    <t>0.05 Sq.inch (50/55 Sqmm Al. Eq.) (Rabbit)</t>
  </si>
  <si>
    <t xml:space="preserve">Disc insulator </t>
  </si>
  <si>
    <t>11 kV Pin insulator</t>
  </si>
  <si>
    <t xml:space="preserve">33 kV Pin insulator </t>
  </si>
  <si>
    <t>11 kV Post Insulator</t>
  </si>
  <si>
    <t>33 kV Post Insulator</t>
  </si>
  <si>
    <t>90 x 75 mm.</t>
  </si>
  <si>
    <t>65 x 50 mm.</t>
  </si>
  <si>
    <t>Stay insulator</t>
  </si>
  <si>
    <t>Split insulator</t>
  </si>
  <si>
    <t>Files of sizes</t>
  </si>
  <si>
    <t>Safety belts</t>
  </si>
  <si>
    <t>Safety helmets</t>
  </si>
  <si>
    <t xml:space="preserve">Fire fighting equipments (dry chemical powder type 5 Kg capacity) </t>
  </si>
  <si>
    <r>
      <t>Fire fighting equipments 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</si>
  <si>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CURRENT TRANSFORMER 100-50/1/1A SUITABLE</t>
  </si>
  <si>
    <t>C.T. 132KV 200-100/1/1A SUITABLE</t>
  </si>
  <si>
    <t>CURRENT X-MER 300-150/1/1A - 132KV</t>
  </si>
  <si>
    <t>OIL IMM 3 PH CTPT UNITS 11 KV 7.5/5 A</t>
  </si>
  <si>
    <t>CT/PT UNIT 11KV/110 V 10/5 A OIL IMMERSE</t>
  </si>
  <si>
    <t xml:space="preserve">Electrically insulated 11 kV mats infront of electrical control panel </t>
  </si>
  <si>
    <t>LT Shackle Insulator (90x75 mm) including cut point/angle location</t>
  </si>
  <si>
    <t>(i) 80 Sqmm Al. Eq (Raccoon)</t>
  </si>
  <si>
    <t>(ii) 50 Sqmm Al. Eq (Rabbit)</t>
  </si>
  <si>
    <t>(iii) 30 Sqmm Al. Eq (Weasel)</t>
  </si>
  <si>
    <t>Concreting of stay &amp; base pad for pole @ 0.2 Cmt/stay and @ 0.05 Cmt for base pad &amp; support @ 0.3 Cmt</t>
  </si>
  <si>
    <t>Earthing Set (Coil earth as per Drawing No- G/004</t>
  </si>
  <si>
    <t>G.I. Wire 4 mm for guarding</t>
  </si>
  <si>
    <t>18</t>
  </si>
  <si>
    <t>Labour charges as per Sch. No. DL-2</t>
  </si>
  <si>
    <t>Transport charges upto 50 Kms average lead from Area stores to construction camp inc. site transport (Transport Sch T-1)</t>
  </si>
  <si>
    <t>COST SCHEDULE D-5</t>
  </si>
  <si>
    <t>1 Km.  LT  LINE  1  PHASE  3  WIRE  USING  RABBIT / WEASEL / SQUIRREL  CONDUCTORS ON  RSJ  SUPPORTS  WITH MAXIMUM SPAN  OF  45  METERS  FOR  URBAN  AREAS</t>
  </si>
  <si>
    <t>Using one wire of 50 Sqmm, one wire of 30 Sqmm ACSR and one wire of 20 Sqmm ACSR  Conductor</t>
  </si>
  <si>
    <t>125x70 mm 9.3 Mtr long RSJ supports @ 13.198 Kg/mtr = 122.74 Kg/pole x 22 Nos = 2700.28 Kgs.</t>
  </si>
  <si>
    <t>Hardware for 90x75 mm shackle insul.</t>
  </si>
  <si>
    <t>ACSR Conductor including 3% sag</t>
  </si>
  <si>
    <t>Concreting of stay &amp; base pad for pole @ 0.2 Cmt/stay and @ 0.05 Cmt for base pad &amp; support @ 0.3 Cmt.</t>
  </si>
  <si>
    <t>COST SCHEDULE -- D-6 (1)</t>
  </si>
  <si>
    <t xml:space="preserve">LT 3 phase 4 Wire Aerial Bunched Cable of Size 3x16 + 1x25 sqmm.  </t>
  </si>
  <si>
    <t>Amt (Rs.)</t>
  </si>
  <si>
    <t>140 Kg., 8.0 Mtrs. long  PCC Poles</t>
  </si>
  <si>
    <t>5(i)</t>
  </si>
  <si>
    <t>Distribution box 3 phase 5 connectors along with 2 Nos. Steel Strap &amp; Buckles.</t>
  </si>
  <si>
    <t>Concreting of stay @ 0.2 Cmt/stay ; concreting of piller box @ 0.5 Cmt per box and concreting of base pad for pole @ 0.05 Cmt/pole.</t>
  </si>
  <si>
    <t>Labour charges as per Sch. No.- DL-9</t>
  </si>
  <si>
    <t>1 KM  OF  3  PHASE  5  WIRE  LINE  USING  AB  XLPE  CABLE  (BY REPLACEMENT  OF  EXISTING  BARE  LT CONDUCTOR) FOR  URBAN  AREA</t>
  </si>
  <si>
    <t>Based on COST SCHEDULE D-6</t>
  </si>
  <si>
    <t>RS Joist (175X85) mm 9.3 Mtr Long Using 1100 V grade AB Cable 3x50 + 1x25 + 1x35 sqmm.</t>
  </si>
  <si>
    <t>1(i)</t>
  </si>
  <si>
    <t>LT AB Cable 3x50 + 1x25 + 1x35 sqmm.  (6% sag)</t>
  </si>
  <si>
    <t xml:space="preserve">PVC insulated single core 16 sq.mm. cable </t>
  </si>
  <si>
    <t>Labour charges as per Sch. No.DL-6(A)</t>
  </si>
  <si>
    <t>Dismantling Charges (50% of labour charges)</t>
  </si>
  <si>
    <t xml:space="preserve"> COST SCHEDULE --  D-6 (B)</t>
  </si>
  <si>
    <t>(iii) Stay Clamp for 140 kg PCC</t>
  </si>
  <si>
    <t>Transformer mounting cross arm DC channel 100x50x6 mm. 2.7 mtr long 8' Centre</t>
  </si>
  <si>
    <t>D.O. mounting Channel</t>
  </si>
  <si>
    <t>DC Channel 100x50x6 mm</t>
  </si>
  <si>
    <t>11 kV Single pole cut point fitting</t>
  </si>
  <si>
    <t xml:space="preserve">11 kV Strain Hardware set </t>
  </si>
  <si>
    <t>11 kV D.O. Fuse Unit</t>
  </si>
  <si>
    <t>Protection cum metering box with 40 amp. MCCB &amp; 4 No. 3 phase meter.</t>
  </si>
  <si>
    <t>Protection cum metering box with 25 amp. MCCB &amp; 3 No. 3 phase meter.</t>
  </si>
  <si>
    <t xml:space="preserve">35 sqmm single core XLPE cable </t>
  </si>
  <si>
    <t xml:space="preserve"> XLPE insulated 4 core 10 sqmm. armoured  cable</t>
  </si>
  <si>
    <t>G.I. Pipe 40 mm (9 Mtr. per sub-station)</t>
  </si>
  <si>
    <t>11 kV 'V' Cross arm</t>
  </si>
  <si>
    <t>11 kV Top Clamp</t>
  </si>
  <si>
    <t>16X200 mm</t>
  </si>
  <si>
    <t xml:space="preserve">New Bin code </t>
  </si>
  <si>
    <t>1 Phase 2 Wire to 1 Phase 3 Wire Conversion</t>
  </si>
  <si>
    <t>1 Phase 2 Wire to 3 Phase 4 Wire Conversion</t>
  </si>
  <si>
    <t>1 Phase 3 Wire to 3 Phase 4 Wire Conversion</t>
  </si>
  <si>
    <t>1 Phase 3 Wire to 3 Phase 5 Wire Conversion</t>
  </si>
  <si>
    <t>LT Five Pin cross arm</t>
  </si>
  <si>
    <t>Hardware for Shackle Insulator</t>
  </si>
  <si>
    <t xml:space="preserve">ACSR RABBIT Conductor including 3% Sag  </t>
  </si>
  <si>
    <t xml:space="preserve">M.S. Nuts &amp; bolts </t>
  </si>
  <si>
    <t>Clamp for R.S. Joist or PCC 140 Kg./8 mtr long</t>
  </si>
  <si>
    <t>Labour Charges as per DL-4.</t>
  </si>
  <si>
    <r>
      <t xml:space="preserve">Transportation Charges </t>
    </r>
    <r>
      <rPr>
        <sz val="12"/>
        <rFont val="Rupee"/>
        <family val="0"/>
      </rPr>
      <t>`</t>
    </r>
  </si>
  <si>
    <t>COST  SCHEDULE   D-12 ( E-2)</t>
  </si>
  <si>
    <t>CONVERSION  OF  1  KM  1  PHASE  3  WIRE  LT  LINE  INTO  11  kV  LINE</t>
  </si>
  <si>
    <t>11 kV Top clamp Angle type with cleat.</t>
  </si>
  <si>
    <t xml:space="preserve">Jointing sleeves suitable for weasel / rabbit conductor  </t>
  </si>
  <si>
    <t xml:space="preserve">Binding wire &amp; tape  </t>
  </si>
  <si>
    <t xml:space="preserve">Nuts and Bolts                                                         </t>
  </si>
  <si>
    <t>(iii) Stay Clamp (Pair) H.T.</t>
  </si>
  <si>
    <t>(iv) Stay Wire 7/10 SWG @ 5.5 kg/stay</t>
  </si>
  <si>
    <t>(vi) I- Bolt big size.</t>
  </si>
  <si>
    <t xml:space="preserve">Concreting of stay @ 0.2 Cmt per stay and @ 0.05 Cmt base pad per pole </t>
  </si>
  <si>
    <t>Cement @ 208 Kg per Cmt.</t>
  </si>
  <si>
    <t>PVC Insulated cable 16 sqmm 1 core unarmoured</t>
  </si>
  <si>
    <t xml:space="preserve">ACSR Conductor 20 sqmm. Al. Eq. for neutral </t>
  </si>
  <si>
    <t>Back filling of pole with boulders @ 0.3 Cmt. per pole.</t>
  </si>
  <si>
    <t>Labour charges as per Schedule No. DL-5 ( E-2)</t>
  </si>
  <si>
    <t>Transport charges upto 50 Kms. Average lead from Area Store to construction camping site transport</t>
  </si>
  <si>
    <t>Mtr</t>
  </si>
  <si>
    <t>kg</t>
  </si>
  <si>
    <t>Qty</t>
  </si>
  <si>
    <t>Service in lieu of concreting metal &amp; sand only</t>
  </si>
  <si>
    <t>(i) Cement @ 208 Kg/cmt</t>
  </si>
  <si>
    <t>3(i)</t>
  </si>
  <si>
    <t xml:space="preserve">Universal distribution connector </t>
  </si>
  <si>
    <t>LT 3 phase 5 Wire Aerial Bunched Cable of Size</t>
  </si>
  <si>
    <t xml:space="preserve"> (a)</t>
  </si>
  <si>
    <t>3x50 + 1x25 + 1x35 sqmm.  (6% sag)</t>
  </si>
  <si>
    <t>3x25 + 1x16 + 1x25 sqmm.  (6% sag)</t>
  </si>
  <si>
    <t>(i) Stay Set 16 mm (Complete)</t>
  </si>
  <si>
    <t>(ii) Stay Wire 7/10 SWG &amp; 6 Kg/Stay</t>
  </si>
  <si>
    <t>Concreting of stay &amp; pole @ 0.2 Cmt/stay and @ 0.3 Cmt/pole for RSJ, @ 0.5 Cmt/pole for H-Beam pole i.e. 8.4 Cmt for RSJ &amp; 12.4 Cmt for H-Beam pole</t>
  </si>
  <si>
    <t>Distribution box 3 phase 5 connectors</t>
  </si>
  <si>
    <t>TRANSFORMER 63KVA 11/0.43KV FOUR STAR</t>
  </si>
  <si>
    <t>TRANSFORMER 100KVA 11/0.43KV FOUR STAR</t>
  </si>
  <si>
    <t>TRANSFORMER 200KVA 11/0.4KV FOUR STAR</t>
  </si>
  <si>
    <t>XMER 315KVA 11/0.43KV CEA REG. CU WOUND</t>
  </si>
  <si>
    <t>TRANSFORMER 11/.4KV 5 KVA 1 PHASE</t>
  </si>
  <si>
    <t xml:space="preserve">Concreting of stay @ 0.2 Cmt. per stay and 0.05 Cmt. base pad per pole </t>
  </si>
  <si>
    <t>PVC insulated cable 16 sqmm 1 core unarmoured</t>
  </si>
  <si>
    <t>Labour charges as per Schedule No. DL-6 (E-3)</t>
  </si>
  <si>
    <t xml:space="preserve">H-BEAM 152x152 mm 37.1 Kg /Mtr 9.0 Mtr long i.e. 333.9 Kg/pole x 20 Nos = 6678 Kgs  </t>
  </si>
  <si>
    <t>(c)</t>
  </si>
  <si>
    <t>140 Kg, 8.0 Mtr long PCC support</t>
  </si>
  <si>
    <t>Combination Plier</t>
  </si>
  <si>
    <t>Porcelain Kit-kat fuse unit 16 Amps.</t>
  </si>
  <si>
    <t>Porcelain Kit-kat fuse unit 100 Amps.</t>
  </si>
  <si>
    <t>Porcelain Kit-kat fuse unit 200 Amps.</t>
  </si>
  <si>
    <t>Porcelain Kit-kat fuse unit 300 Amps.</t>
  </si>
  <si>
    <t>TPN Switches 32 Amps.</t>
  </si>
  <si>
    <t>TPN Switches 63 Amps.</t>
  </si>
  <si>
    <t>TPN Switches 100 Amps.</t>
  </si>
  <si>
    <t>TPN Switches 200 Amps.</t>
  </si>
  <si>
    <t>TPN Switches 300 Amps.</t>
  </si>
  <si>
    <t>TPN Switches 400 Amps.</t>
  </si>
  <si>
    <t>11 kV Porcelain A.B. Switch</t>
  </si>
  <si>
    <t>33 kV Porcelain A.B. Switch</t>
  </si>
  <si>
    <t>11 kV Porcelain D.O. Fuse unit</t>
  </si>
  <si>
    <t>33 kV Porcelain D.O. Fuse unit</t>
  </si>
  <si>
    <t>MCCB 100 Amps. (10 kA TP)</t>
  </si>
  <si>
    <t>LT Feeder Piller box for 3 phase 8 connection made of M.S.Sheet</t>
  </si>
  <si>
    <t xml:space="preserve">Total cost per Km (R/Off) </t>
  </si>
  <si>
    <t xml:space="preserve">Total cost per Km </t>
  </si>
  <si>
    <t>BINDING WIRE</t>
  </si>
  <si>
    <t>CONDUCTOR AAA SQURREL</t>
  </si>
  <si>
    <t>CONDUCTOR AAA WEASEL</t>
  </si>
  <si>
    <t>CONDUCTOR AAA RABBIT</t>
  </si>
  <si>
    <t>CONDUCTOR AAA RACOON</t>
  </si>
  <si>
    <t>JOINTING SLEEVE FOR RACCOON CONDUCTOR</t>
  </si>
  <si>
    <t>JOINTING SLEEVE FOR DOG CONDUCTOR</t>
  </si>
  <si>
    <t>ACSR CONDUCTOR 0.02 sqmm(20 Sqmm Al.Eq)</t>
  </si>
  <si>
    <t>ACSR CONDUCTOR 0.03 Sqmm (30 Sqmm AlEq)</t>
  </si>
  <si>
    <t>ACSR CONDUCTOR 0.05 Sqmm (50 Sqmm Al q)</t>
  </si>
  <si>
    <t>ACSR CONDUCTOR 0.075 Sqmm (80 Sqmm Al.E</t>
  </si>
  <si>
    <t>ACSR CONDUCTOR 0.10 Sqmm (100 Sqmm lEq)</t>
  </si>
  <si>
    <t>CONDUCTOR ACSR PANTHER 130 sq mm</t>
  </si>
  <si>
    <t>CONDUCTOR AAA DOG</t>
  </si>
  <si>
    <t>T-CLAMPS FOR ACSR CONDUCTOR Dog Condutor</t>
  </si>
  <si>
    <t>T-CLAMPS FOR ACSR Raccoon Conductor.</t>
  </si>
  <si>
    <t>Bimetallic clamps for transformer &amp;kiosk</t>
  </si>
  <si>
    <t>SLEEVE JOINTING ALUMINIUM FOR 0.03SQ INC</t>
  </si>
  <si>
    <t>SLEEVE REPAIR ALUMINIUM FOR .2SQ INCH AC</t>
  </si>
  <si>
    <t>LIGHTNING ARRESTORS 30 KV gapless type</t>
  </si>
  <si>
    <t>LIGHTNING ARRESTORS11 KV gapless type.</t>
  </si>
  <si>
    <t>Transformer mounting 100 x 50 mm channel</t>
  </si>
  <si>
    <t>I bolt 16 mm Dia</t>
  </si>
  <si>
    <t>STAY SET WITHOUT STAY WIRE16mm Paint11KV</t>
  </si>
  <si>
    <t>STAY SET WITHOUT STAY WIRE 20mm (Painted</t>
  </si>
  <si>
    <t>STAY WIRES : - 7/4,00 MM (7/8 SWG).</t>
  </si>
  <si>
    <t>STAY WIRES: - 7/3,05 MM (7/10 SWG)</t>
  </si>
  <si>
    <t>EARTHING COIL 8SWG GI WIRE 50MM DIA 450M</t>
  </si>
  <si>
    <t>Earthing rod 25mm x 1.2 Mtrs.</t>
  </si>
  <si>
    <t>G.I. WIRES: - 3,15MM (10 SWG)</t>
  </si>
  <si>
    <t>G.I. WIRES: - 4,0MM (8 SWG)</t>
  </si>
  <si>
    <t>G.I. WIRES: - 5,0MM (6 SWG)</t>
  </si>
  <si>
    <t>DOUB TENS H/W FOR ZEB/ CAMEL COND S/S TY</t>
  </si>
  <si>
    <t>Jointing Kit&amp;HW LT ABC CableStraight Sus</t>
  </si>
  <si>
    <t>CABLE MARKER FOR U/G CABLE</t>
  </si>
  <si>
    <t>7130880041Danger boards 33KV &amp; 11 KV.</t>
  </si>
  <si>
    <t>M.S. SHEET METER PILLER BOX</t>
  </si>
  <si>
    <t>LT FEEDER PILLER BOX FOR 1PH 8 CONNECTIO</t>
  </si>
  <si>
    <t>LT FEEDER PILLER BOX FOR 3PH 4 CONNECTIO</t>
  </si>
  <si>
    <t>LT FEEDER PILLER BOX FOR 3PH 8 CONNECTIO</t>
  </si>
  <si>
    <t>LT LINE SPACERS</t>
  </si>
  <si>
    <t>HT STAY CLAMP R S JOIST A TYPE</t>
  </si>
  <si>
    <t>HT STAY CLAMP RAIL POLE B TYPE</t>
  </si>
  <si>
    <t>33 KV TOP CLAMP SEMIFINISHED</t>
  </si>
  <si>
    <t>LT THREE PIN CROSS ARM</t>
  </si>
  <si>
    <t>713081LT 4-Pin cross arms 50 x 50 x 6 mm</t>
  </si>
  <si>
    <t>LT FIVE PIN CROSS ARM</t>
  </si>
  <si>
    <t>11 KV V CROSS ARM</t>
  </si>
  <si>
    <t>D.O. / LA Mounting channel 75x40 mm.</t>
  </si>
  <si>
    <t>1.1 MTR DPDC CROSS ARM</t>
  </si>
  <si>
    <t>11KV 4 FEET CENTRE DC CROSS ARM</t>
  </si>
  <si>
    <t>Using 20 Sqmm ACSR as Phase &amp; neutral</t>
  </si>
  <si>
    <t>PCC Pole 140 Kg, 8.0 Mtr long</t>
  </si>
  <si>
    <t>LT Four Pin cross arm</t>
  </si>
  <si>
    <t>LT Shackle Insulator (90x75 mm)</t>
  </si>
  <si>
    <r>
      <t xml:space="preserve">Earth knob (Aluminium bobbin) </t>
    </r>
    <r>
      <rPr>
        <sz val="14"/>
        <rFont val="Arial"/>
        <family val="2"/>
      </rPr>
      <t xml:space="preserve"> </t>
    </r>
  </si>
  <si>
    <t>Concreting of stay &amp; base pad for pole @ 0.2 Cmt/stay and @ 0.05 Cmt for base pad.</t>
  </si>
  <si>
    <t>GI wire 8 SWG for guarding</t>
  </si>
  <si>
    <t>Back filling of pole pit with boulder @ 0.25 Cmt</t>
  </si>
  <si>
    <t>Labour charges as per Sch. No. DL-1</t>
  </si>
  <si>
    <t>Transport charges upto 50 Kms average lead from Area stores to construction camp including site transport (Transport Sch T-1)</t>
  </si>
  <si>
    <t>COST SCHEDULE D-3</t>
  </si>
  <si>
    <t>1 Km  LT  LINE  1  PHASE  3  WIRE  USING  RABBIT / WEASEL / SQUIRREL  CONDUCTORS  ON  140 Kg;  8.0  Mtr.  LONG  PCC SUPPORTS  WITH  MAXIMUM  SPAN  OF  60  METERS</t>
  </si>
  <si>
    <t>Using one wire of 50 Sqmm, one wire of 30 Sqmm  ACSR and one wire of 20 Sqmm ACSR  Conductor</t>
  </si>
  <si>
    <t>LT Three Pin cross arm</t>
  </si>
  <si>
    <t xml:space="preserve">Earth knob (Aluminium bobbin)   </t>
  </si>
  <si>
    <t>Hardware for 90x75 mm Shackle insu.</t>
  </si>
  <si>
    <t xml:space="preserve">Split insulator for guarding </t>
  </si>
  <si>
    <t>GI wire 4 mm for guarding</t>
  </si>
  <si>
    <t>Labour charges as per Sch No. DL-1</t>
  </si>
  <si>
    <t>COST SCHEDULE    D-4</t>
  </si>
  <si>
    <t xml:space="preserve">1  KM  OF  3  PHASE  5  WIRE  LT  LINE  ON  R.S.  JOIST  WITH  ACSR  CONDUCTOR  FOR URBAN  AREAS </t>
  </si>
  <si>
    <t>3 Ph, 5 Wire line on RSJ 125x70 mm 9.3 Mtr long with max. span 45 Mtrs for size of conductor upto 3x50 Sqmm + 2x30 Sqmm ACSR</t>
  </si>
  <si>
    <t>3Ph, 5 Wire line on RSJ 175x85 mm 9.3 Mtr long with max. span 65 Mtrs for size of conductor upto 3x80 Sqmm + 2x30 Sq mm ACSR</t>
  </si>
  <si>
    <t xml:space="preserve">(i) R.S. Joist (125x70 mm) 9.3 Mtr long @13.198 Kg = 122.74 kg/pole x 22 No = 2700.28 Kgs </t>
  </si>
  <si>
    <t>11KV 3 PHASE AERIAL BUNCHED XLPE CABLE 3</t>
  </si>
  <si>
    <t>11KV AB XLPE CABLE STRAIGHT THRU JOINT K</t>
  </si>
  <si>
    <t>LT 1PH 3 WIRE AERIAL BUNCHED CABLE OF SI</t>
  </si>
  <si>
    <t>1.1KV LT  AB CABLE 3X50+1X16+1X35 SQMM</t>
  </si>
  <si>
    <t>LT 3PH 5 WIRE AERIAL BUNCHED CABLE OF SI</t>
  </si>
  <si>
    <t>LT AB CABLEB 3X16+1X25 SQMM</t>
  </si>
  <si>
    <t>LT AB CABLEB 3X25+1X25 SQMM</t>
  </si>
  <si>
    <t>33KV 3 CORE XLPE UG CABLE 3X 240SQMM</t>
  </si>
  <si>
    <t>11KV 3 CORE XLPE UG CABLE 95 SQMM</t>
  </si>
  <si>
    <t>11KV 3 CORE XLPE UG CABLE 120 SQMM</t>
  </si>
  <si>
    <t>11KV 3 CORE XLPE UG CABLE 240 SQMM</t>
  </si>
  <si>
    <t>11KV 3 CORE XLPE UG CABLE 400 SQMM</t>
  </si>
  <si>
    <t>CONTROL CABLE COP 2CORE 2.5SQMM PVC/PVC</t>
  </si>
  <si>
    <t>CONTROL CABLE COP 4CORE 2.5SQMM PVC/PVC</t>
  </si>
  <si>
    <t>CONTROL CABLE COP 8 CORE 2.5 SQ MM PVC/P</t>
  </si>
  <si>
    <t>11 KV C.T's (OUT DOOR TYPE)300-150/5 A</t>
  </si>
  <si>
    <t>33KV CT's(300-150/5)A oil filled OD Type</t>
  </si>
  <si>
    <t>33KV CT's(200-100/5)A oil filled OD Type</t>
  </si>
  <si>
    <t>D Transformer Mounting 100x50 mm Channel</t>
  </si>
  <si>
    <t>Transformer Mounting with Belting for Addl. X-Arm</t>
  </si>
  <si>
    <t>I-Bolt - 16 mm</t>
  </si>
  <si>
    <t>Stay Set 16 mm (Painted) LT &amp; 11 KV</t>
  </si>
  <si>
    <t>Stay Set 20 mm (Painted)</t>
  </si>
  <si>
    <t>Stay Wire 7/4.00 mm (7/8 SWG)</t>
  </si>
  <si>
    <t>Stay Wire 7/3.15 mm (7/10 SWG)</t>
  </si>
  <si>
    <t>Earthing Rod 25 mm 1.2 Mtr.</t>
  </si>
  <si>
    <t>G.I.Wire 3.15 mm (10 SWG)</t>
  </si>
  <si>
    <t>G.I.Wire 4.0 mm (8 SWG)</t>
  </si>
  <si>
    <t>G.I.Wire 5.0 mm (6 SWG)</t>
  </si>
  <si>
    <t>Jointing kit 11 kV ABC Cable DEAD END ASM</t>
  </si>
  <si>
    <t>Jointing Kit 11 kV ABC Section Suspensio</t>
  </si>
  <si>
    <t>33 kV Guarding Channel 100x50 mm</t>
  </si>
  <si>
    <t>Old Bin Code  7131329276</t>
  </si>
  <si>
    <t>Old Bin Code  7131329277</t>
  </si>
  <si>
    <t>Old Bin Code 7131329278</t>
  </si>
  <si>
    <t>LT Single Phase MCB 5 Amps.</t>
  </si>
  <si>
    <t>LT Single Phase MCB 6 to 16 Amps.</t>
  </si>
  <si>
    <t>LT Three Phase MCB 32 Amps.</t>
  </si>
  <si>
    <t>LT Three Phase MCB 16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</si>
  <si>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</si>
  <si>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</si>
  <si>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</si>
  <si>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</si>
  <si>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</si>
  <si>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>D.O.Fuse element 11 kV (1.5 Amp. to 10 Amp.)</t>
  </si>
  <si>
    <t>H.R.C. Fuse 250 Amps.</t>
  </si>
  <si>
    <t>H.R.C. Fuse 400 Amps.</t>
  </si>
  <si>
    <t>H.R.C. Fuse 100 Amps.</t>
  </si>
  <si>
    <t>D.O.Fuse element 33 kV (25 Amp.)</t>
  </si>
  <si>
    <t>D.O.Fuse element 33 kV (50 Amp.)</t>
  </si>
  <si>
    <t>H.R.C. Fuse Unit 250 Amps.</t>
  </si>
  <si>
    <t>H.R.C. Fuse Unit 100 Amps.</t>
  </si>
  <si>
    <t>H.R.C. Fuse Unit 400 Amps.</t>
  </si>
  <si>
    <t>T.C. Fuse Wire 22 SWG</t>
  </si>
  <si>
    <t>T.C. Fuse Wire 20 SWG</t>
  </si>
  <si>
    <t>T.C. Fuse Wire 18 SWG</t>
  </si>
  <si>
    <t>33 kV ABC Termination kit 240 sqmm</t>
  </si>
  <si>
    <t>33 kV ABC Termination kit 300 sqmm</t>
  </si>
  <si>
    <t>33 kV ABC Termination kit 400 sqmm</t>
  </si>
  <si>
    <t>Cable tie for AB Cable</t>
  </si>
  <si>
    <t xml:space="preserve">11 kV 3 phase Aerial Bunched Cable 3x35 + 35 Sq mm 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</si>
  <si>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</si>
  <si>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</si>
  <si>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</si>
  <si>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11 kV AB Cable Straight thru' joint kit suitable for 35-70 sqmm</t>
  </si>
  <si>
    <t>11 kV AB Cable Straight thru' joint kit suitable for 95-120 sqmm</t>
  </si>
  <si>
    <t>11 kV ABC Termination kit 35-70 sqmm</t>
  </si>
  <si>
    <t>11 kV ABC Termination kit 95-120 sqmm</t>
  </si>
  <si>
    <t>LT 1 phase 3 Wire Aerial Bunched Cable of Size 1X25+1X16+1x25</t>
  </si>
  <si>
    <t>LT 3 phase 5 Wire Aerial Bunched Cable of Size 3X16+1X16+1x25</t>
  </si>
  <si>
    <t>35 Sqmm.</t>
  </si>
  <si>
    <t>50 Sqmm.</t>
  </si>
  <si>
    <t>70 Sqmm.</t>
  </si>
  <si>
    <t>120 Sqmm.</t>
  </si>
  <si>
    <t>150 Sqmm.</t>
  </si>
  <si>
    <t>300 Sqmm.</t>
  </si>
  <si>
    <t>16.0 Sqmm.</t>
  </si>
  <si>
    <t>km</t>
  </si>
  <si>
    <t>T.W.METER BOARD, 300X300X75 MM, COATED W</t>
  </si>
  <si>
    <t>Meter Box (GI Plain Sheet) for 3 Ph LTCT</t>
  </si>
  <si>
    <t>LTCT METER WITH DLMS</t>
  </si>
  <si>
    <t>Suspension Clamp Assembly with Hook bracket &amp; Pole Clamp</t>
  </si>
  <si>
    <t>Tension/Dead end Clamp Assembly with Hook bracket &amp; Pole Clamp</t>
  </si>
  <si>
    <t>M.S. sheet meter piller box</t>
  </si>
  <si>
    <t xml:space="preserve">Metal Halide light lamp  </t>
  </si>
  <si>
    <t>Stay Clamp for 280 kG. PCC Pole</t>
  </si>
  <si>
    <t>Stay Clamp Rail "A" type</t>
  </si>
  <si>
    <t>Stay Clamp for R.S.Joist "A" type</t>
  </si>
  <si>
    <t>Stay Clamp Rail "B" type</t>
  </si>
  <si>
    <t>Back Clamp Rail for H-Beam</t>
  </si>
  <si>
    <t>L.T. 3 Pin Cross Arm 50x50x6 mm</t>
  </si>
  <si>
    <t>L.T. 4 Pin Cross Arm 50x50x6 mm</t>
  </si>
  <si>
    <t>L.T. 5 Pin Cross Arm 50x50x6 mm</t>
  </si>
  <si>
    <t>11 kV Cross Arm Cleat type</t>
  </si>
  <si>
    <t>Lightning Arrestor Structure</t>
  </si>
  <si>
    <t>11 kV Guarding Channel 100x50 mm</t>
  </si>
  <si>
    <t>D.O. Mounting Channel 75x40 mm</t>
  </si>
  <si>
    <t>D.C.Cross arm 4' Centre 100x50 mm Channel 2 Nos.</t>
  </si>
  <si>
    <t xml:space="preserve">D.C.Cross arm 4' Centre 75x40 mm Channel </t>
  </si>
  <si>
    <t xml:space="preserve">D.C.Cross arm 4' Centre Angle 100x100x6 mm  </t>
  </si>
  <si>
    <t>D.C.Cross arm 8' Centre 100x50 mm  Channel</t>
  </si>
  <si>
    <t>33 kV Cross Arm 75x75x6 mm</t>
  </si>
  <si>
    <t>D.C.Cross arm 5' Centre 100x50 mm M.S.Channel</t>
  </si>
  <si>
    <t>33 kV Top Channel 75x75x6 mm</t>
  </si>
  <si>
    <t>11 kV Top Clamp Angle type 65x65x6 mm</t>
  </si>
  <si>
    <t>Stay Clamp Rail for H-Beam</t>
  </si>
  <si>
    <t>SCREW DRIVER 150MM</t>
  </si>
  <si>
    <t>SCREW DRIVER INSULATED 255MM</t>
  </si>
  <si>
    <t>RING SPANNER</t>
  </si>
  <si>
    <t>DOUBLE END SPANNER</t>
  </si>
  <si>
    <t>BOX SPANNER</t>
  </si>
  <si>
    <t>11 KV CAPACITOR 600KVAR</t>
  </si>
  <si>
    <t>POLE MOUNTED GAS FILLED LT SHUNT CAPACIT</t>
  </si>
  <si>
    <t>CAPACITOR BANK 11KV 3PHASE 1200 KVAR</t>
  </si>
  <si>
    <t>MCCB 300 Amps. (35 kA TP)</t>
  </si>
  <si>
    <t>MCCB 450 TO 500 Amps. (35 kA TP)</t>
  </si>
  <si>
    <t>BOLT WITH NUT M S 12X100 MM</t>
  </si>
  <si>
    <t>M S NUTS AND BOLTS: - 12x120mm</t>
  </si>
  <si>
    <t>M S NUTS AND BOLTS: - 12x140mm</t>
  </si>
  <si>
    <t>M S NUTS AND BOLTS: - 16x40mm</t>
  </si>
  <si>
    <t>M S NUTS AND BOLTS: - 16x65mm</t>
  </si>
  <si>
    <t>M S NUTS AND BOLTS: - 16x90mm</t>
  </si>
  <si>
    <t>M S NUTS AND BOLTS: - 16x100mm</t>
  </si>
  <si>
    <t>M S NUTS AND BOLTS: - 16x140mm</t>
  </si>
  <si>
    <t>M S NUTS AND BOLTS: - 16x160mm</t>
  </si>
  <si>
    <t>M S NUTS AND BOLTS - 16x200mm</t>
  </si>
  <si>
    <t>M S NUTS AND BOLTS: - 16x300mm</t>
  </si>
  <si>
    <t>M S NUTS AND BOLTS: - 16x250mm</t>
  </si>
  <si>
    <t>M S NUTS AND BOLTS: - 20x75mm</t>
  </si>
  <si>
    <t>M S NUTS AND BOLTS: - 20x90mm</t>
  </si>
  <si>
    <t>M S NUTS AND BOLTS: - 20x110mm</t>
  </si>
  <si>
    <t>M S NUTS AND BOLTS: - 24x120mm</t>
  </si>
  <si>
    <t>Foundation bolt 25x1200 mm</t>
  </si>
  <si>
    <t>WASHER SPRING 25MM HOLE DIA</t>
  </si>
  <si>
    <t>G.I. PIPE 200MM FOR 400MM CABLE OF DIA 1</t>
  </si>
  <si>
    <t>G.I.BEND 200MM</t>
  </si>
  <si>
    <t>CAPING OF HDPE PIPE ON BOTH END OF PIPE</t>
  </si>
  <si>
    <t>900 MM RCC PIPE TYPE NP-2(2.5MTR LONG)</t>
  </si>
  <si>
    <t>M.S. PIPE 200MM DIA WITH COLLARS</t>
  </si>
  <si>
    <t>PIPE GI 40 MM MEDIUM QUALITY</t>
  </si>
  <si>
    <t>G.I. EARTHING PIPE 40 MM</t>
  </si>
  <si>
    <t>G.I.EARTHING PIPE/ROD SIZE 2500x25 mm</t>
  </si>
  <si>
    <t>ANCHOR CLAMP/ DEAD END CLAMP</t>
  </si>
  <si>
    <t>SUSPENSION CLAMP</t>
  </si>
  <si>
    <t>PCC POLE 140 KG; 8,0 MTR LONG</t>
  </si>
  <si>
    <t>PCC POLE 280 KG; 9,1 MTR LONG</t>
  </si>
  <si>
    <t>POLE-STEEL TUBULAR 100X125X150MM 10.9 MT</t>
  </si>
  <si>
    <t>PCC POLE 350 KG; 7,0 MTR LONG</t>
  </si>
  <si>
    <t>Through Bolt 12 mm</t>
  </si>
  <si>
    <t>D.C. Cross arm 3.8 Mtr 100 x 50 mm.</t>
  </si>
  <si>
    <t>Stay clamp LT/Pair</t>
  </si>
  <si>
    <t>LT U CLAMP</t>
  </si>
  <si>
    <t>POLE CLAMP</t>
  </si>
  <si>
    <t>Service ring made of 16 mm</t>
  </si>
  <si>
    <t>HT STAY CLAMP PCC POLE 280 KG A TYPE</t>
  </si>
  <si>
    <t>HT STAY CLAMP RAIL POLE A TYPE</t>
  </si>
  <si>
    <t>For 65 x 50 mm insulators</t>
  </si>
  <si>
    <t>GI Pin for 11 kV Pin insulator.</t>
  </si>
  <si>
    <t>GI Pin for 33 kV Pin insulator.</t>
  </si>
  <si>
    <t>Locally fabricated - 3 Phase fuse units (Robust fuse for circuit base).</t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</si>
  <si>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</si>
  <si>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</si>
  <si>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t>Feeder Control (Static Relays)</t>
  </si>
  <si>
    <t>Transformer Control (Static Relays)</t>
  </si>
  <si>
    <t>2 Feeder Control (Static Relays)</t>
  </si>
  <si>
    <t>GI earthing pipe of 40 mm dia 3.04 mtr long with 12 mm hole at 18 places at equal distance trapered casing at lower end .</t>
  </si>
  <si>
    <t>Single phase AB switch complete.</t>
  </si>
  <si>
    <t>Not Procured</t>
  </si>
  <si>
    <t>11 kV ABC-T Jointing kit 35-70 sqmm</t>
  </si>
  <si>
    <t>11 kV ABC-T Jointing kit 95-120 sqmm</t>
  </si>
  <si>
    <t>Section Suspension Assembly (Suitable for all size cable)</t>
  </si>
  <si>
    <t>LT 1 phase 3 Wire Aerial Bunched Cable of Size 1X35+1X16+1x25</t>
  </si>
  <si>
    <t>INSULATING PIERCING CONNECTOR FOR ABC TO</t>
  </si>
  <si>
    <t>UDC- UNIVERSAL DISTRIBUTION CONNECTOR</t>
  </si>
  <si>
    <t>STRAIGHT THROUGH JOINT</t>
  </si>
  <si>
    <t>END CLAMP CAP FOR 50/70 SQMM</t>
  </si>
  <si>
    <t>M S ANGLE 50X50X5 MM</t>
  </si>
  <si>
    <t>M S ANGLE 65X65X6 MM</t>
  </si>
  <si>
    <t>M S ANGLE 75X75X6 MM</t>
  </si>
  <si>
    <t>Jointing kit 11KV ABC Cabl 3x25+1x35sqmm</t>
  </si>
  <si>
    <t>M S CHANNEL 75X40 MM CP</t>
  </si>
  <si>
    <t>M.S.FLATE 50X6 MM CP</t>
  </si>
  <si>
    <t xml:space="preserve">Red Oxide paint </t>
  </si>
  <si>
    <t>RM</t>
  </si>
  <si>
    <t>Strain Plate (65x8 mm) for 33 kV</t>
  </si>
  <si>
    <t>COST SCHEDULE  D-7</t>
  </si>
  <si>
    <t>HVDS  SYSTEM  OF  200 kVA  PARENT   DTR  TAKING  4 Km.  LT.  TO  BE CONVERTED.</t>
  </si>
  <si>
    <t>Bin Code</t>
  </si>
  <si>
    <t>25 kVA 11/0.4 kV Transformer 4 STAR</t>
  </si>
  <si>
    <t>16 kVA 11/0.4 kV conventional Transformer (4 STAR Aluminium Wound)</t>
  </si>
  <si>
    <t>10 kVA 11/0.4 kV SINGLE PHASE Transformer</t>
  </si>
  <si>
    <t>140 Kg 8 Mtr. Long PCC Pole (for mid span)</t>
  </si>
  <si>
    <t>(i) Stay Set 16 mm</t>
  </si>
  <si>
    <t>(ii) Stay Wire 7/10 SWG (5.5 Kg/stay)</t>
  </si>
  <si>
    <t>33 kV CTPT Unit 200-100/5 A</t>
  </si>
  <si>
    <t>11 kV CTPT Unit 200-100/5 A</t>
  </si>
  <si>
    <t>3 Ø 4 Wire 0.5S with DLMS Protocol category A</t>
  </si>
  <si>
    <t>Marshelling Box</t>
  </si>
  <si>
    <t>LT 3 phase 5 Wire Aerial Bunched Cable of Size 3X50+1X25+1x35</t>
  </si>
  <si>
    <t>LT 3 phase 5 Wire Aerial Bunched Cable of Size 3X70+1x16+1x50</t>
  </si>
  <si>
    <t>CONTROL CABLE COP 10CORE 2.5SQMM PVC/PVC</t>
  </si>
  <si>
    <t>CONTROL CABLE COP 12CORE 2.5SQMM PVC/PVC</t>
  </si>
  <si>
    <t>ALUMINIUM 1C 16 SQ MM UNARMOURED LT PVC</t>
  </si>
  <si>
    <t>ALUMINIUM 1C 50 SQ MM UNARMOURED LT PVC</t>
  </si>
  <si>
    <t>ALUMINIUM 1C 70 SQ MM UNARMOURED LT PVC</t>
  </si>
  <si>
    <t>ALUMINIUM 1C 150 SQ MM UNARMOURED LT PVC</t>
  </si>
  <si>
    <t>ALUMINIUM 1C 300 SQ MM UNARMOURED LT PVC</t>
  </si>
  <si>
    <t>ALUMINIUM 1C 400 SQ MM UNARMOURED LT PV</t>
  </si>
  <si>
    <t>POWERCABLE ARM ALU 3.5CORE 70/35SQMM PVC</t>
  </si>
  <si>
    <t>POWERCABLE ARM ALU 3.5CORE 150/70SQMM PV</t>
  </si>
  <si>
    <t>Power Cable ARM ALU 3.5CORE 300/150SQMM</t>
  </si>
  <si>
    <t>16,0 SQMM, 4 CORE, ARMOURED AL. CABLE</t>
  </si>
  <si>
    <t>33KV ABC TERMINATION KIT 95-120 SQMM</t>
  </si>
  <si>
    <t>33KV ABC TERMINATION KIT 185 SQMM</t>
  </si>
  <si>
    <t>33KV ABC TERMINATION KIT 240 SQMM</t>
  </si>
  <si>
    <t>STRAIGHT LINE SUSPENSION ASSEMBLY FOR AL</t>
  </si>
  <si>
    <t>11KV ABC T-JOINTING KIT 35-70 SQMM</t>
  </si>
  <si>
    <t>11KV ABC T-JOINTING KIT 95-120 SQMM</t>
  </si>
  <si>
    <t>D.C.Cross Arm 5.2 Mtr. Channel</t>
  </si>
  <si>
    <t>Angle line Suspension Assembly (Suitable for all size cable)</t>
  </si>
  <si>
    <t xml:space="preserve"> Back Clamp for Pole</t>
  </si>
  <si>
    <t>Aluminium Paint</t>
  </si>
  <si>
    <t>Sl. No.</t>
  </si>
  <si>
    <t>4</t>
  </si>
  <si>
    <t>5</t>
  </si>
  <si>
    <t>Earlier- Dead-end Assembly (Suitable for all size cable)</t>
  </si>
  <si>
    <t>30 Volts 100 AH lead acid battery</t>
  </si>
  <si>
    <t>LT 3 phase 4 Wire Aerial Bunched Cable of Size 3X25+1x25</t>
  </si>
  <si>
    <t>Distribution box 1 ph. 9 connectors along with 2 Nos. Steel Strap &amp; Buckles.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</si>
  <si>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</si>
  <si>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</si>
  <si>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</si>
  <si>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</si>
  <si>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>Earthing Coil for messenger wire</t>
  </si>
  <si>
    <t>Anchor sleeve for messenger wire</t>
  </si>
  <si>
    <t>Universal hook &amp; Bolts &amp; nuts</t>
  </si>
  <si>
    <t>Universal distribution connector</t>
  </si>
  <si>
    <t>Cable tie (UV protected black colour) for AB Cable</t>
  </si>
  <si>
    <t>10 Sq.mm, 4 Core</t>
  </si>
  <si>
    <t xml:space="preserve">Rate per Distribution Box
</t>
  </si>
  <si>
    <t xml:space="preserve">Incidental Charges (9%)
</t>
  </si>
  <si>
    <t xml:space="preserve">Labour Charges per Distribution Box
</t>
  </si>
  <si>
    <t xml:space="preserve">Cost per Distribution Box
</t>
  </si>
  <si>
    <r>
      <t xml:space="preserve">Cost per Distribution Box
</t>
    </r>
    <r>
      <rPr>
        <b/>
        <sz val="11"/>
        <rFont val="Arial"/>
        <family val="2"/>
      </rPr>
      <t xml:space="preserve"> Round Off</t>
    </r>
  </si>
  <si>
    <t xml:space="preserve">Total cost  (R/Off) </t>
  </si>
  <si>
    <t>Total Cost per</t>
  </si>
  <si>
    <t>7</t>
  </si>
  <si>
    <t>8</t>
  </si>
  <si>
    <t>9</t>
  </si>
  <si>
    <t>10</t>
  </si>
  <si>
    <t>11</t>
  </si>
  <si>
    <t>12x65 mm</t>
  </si>
  <si>
    <t>12x120 mm</t>
  </si>
  <si>
    <t>12x140 mm</t>
  </si>
  <si>
    <t>16x100 mm</t>
  </si>
  <si>
    <t>16x250 mm</t>
  </si>
  <si>
    <t>16x300 mm</t>
  </si>
  <si>
    <t>20x75 mm</t>
  </si>
  <si>
    <t>20x90 mm</t>
  </si>
  <si>
    <t>20x110 mm</t>
  </si>
  <si>
    <t>24x120 mm</t>
  </si>
  <si>
    <t>G.I. Spring Washer</t>
  </si>
  <si>
    <t>Gl Pipe 40 mm</t>
  </si>
  <si>
    <t>Per Mtr</t>
  </si>
  <si>
    <t>Danger board 33 kV &amp; 11 kV</t>
  </si>
  <si>
    <t>Earthing set (Pipe earth as per DRG No.-G/008)</t>
  </si>
  <si>
    <t>33KV CT's (100-50/5)A oil filled OD Type</t>
  </si>
  <si>
    <t>33 kV ABC Termination kit 185 sqmm</t>
  </si>
  <si>
    <t>Nos.</t>
  </si>
  <si>
    <t>COST  SCHEDULE  D-1</t>
  </si>
  <si>
    <t xml:space="preserve">LT  LINE  3  PHASE  5  WIRE  ON  PCC  SUPPORTS  USING  RABBIT / WEASEL / SQUIRREL  CONDUCTORS  WITH  MAXIMUM  SPAN  OF 60  METERS </t>
  </si>
  <si>
    <t>New Bin Code</t>
  </si>
  <si>
    <t>L.T.Distribution Box for 500 kVA X'mer (800 A, isolator &amp; 12 SP MCCB of 150 A)</t>
  </si>
  <si>
    <t>33 kV Single Phase PT's (Oil filled)</t>
  </si>
  <si>
    <t>132 kV P.T.</t>
  </si>
  <si>
    <t>220 kV P.T.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</si>
  <si>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</si>
  <si>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</si>
  <si>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</si>
  <si>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</si>
  <si>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</si>
  <si>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</si>
  <si>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</si>
  <si>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</si>
  <si>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</si>
  <si>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</si>
  <si>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</si>
  <si>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Megger up to 2.5 kV</t>
  </si>
  <si>
    <t>Silica gel</t>
  </si>
  <si>
    <r>
      <t>Total (rounding off)</t>
    </r>
    <r>
      <rPr>
        <b/>
        <sz val="10"/>
        <rFont val="Arial"/>
        <family val="2"/>
      </rPr>
      <t xml:space="preserve"> </t>
    </r>
  </si>
  <si>
    <t>Grand Total</t>
  </si>
  <si>
    <r>
      <t xml:space="preserve">Rate </t>
    </r>
    <r>
      <rPr>
        <b/>
        <sz val="11"/>
        <rFont val="Arial"/>
        <family val="2"/>
      </rPr>
      <t xml:space="preserve"> </t>
    </r>
  </si>
  <si>
    <r>
      <t xml:space="preserve">                                         </t>
    </r>
    <r>
      <rPr>
        <b/>
        <u val="single"/>
        <sz val="14"/>
        <rFont val="Arial"/>
        <family val="2"/>
      </rPr>
      <t>COST SCHEDULE -- D-15</t>
    </r>
  </si>
  <si>
    <t>Earlier- Piercing connector suitable for 25/16 Sq.mm-50/35 Sqmm AB Cable-Distribution Box (1 No. per 1 phase DB)</t>
  </si>
  <si>
    <t>22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</si>
  <si>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</si>
  <si>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410-SP-60, 12 Mtrs. Long.</t>
  </si>
  <si>
    <t>410-SP-29, 9 Mtrs. Long.</t>
  </si>
  <si>
    <t>Single Phase transformer with protection (16 kVA)</t>
  </si>
  <si>
    <t>3 Ø 4 Wire 0.5S with DLMS Protocol category B</t>
  </si>
  <si>
    <t xml:space="preserve">3 Ø 4 Wire 0.2S Non DLMS </t>
  </si>
  <si>
    <t xml:space="preserve">3 Ø 3 Wire 0.2S Non DLMS </t>
  </si>
  <si>
    <t xml:space="preserve">3 Ø 4 Wire 0.5S Non DLMS </t>
  </si>
  <si>
    <t>CMRI</t>
  </si>
  <si>
    <t>3 Ø 4 Wire 0.2S accuracy class CT operated meter (for 132 kV)</t>
  </si>
  <si>
    <t>Meter Box (GI Plain Sheet) for 3 Phase LT CT operated meter</t>
  </si>
  <si>
    <t>Non Directional, 30-V, 5-Amps IDMT relay.</t>
  </si>
  <si>
    <t>Set of 3 O.C. relays instantaneous high set feature</t>
  </si>
  <si>
    <t>Set of 2 O.C.+ 1 earth fault relay without instantaneous high set feature</t>
  </si>
  <si>
    <t>Master trip relays</t>
  </si>
  <si>
    <t xml:space="preserve">33 kV CT's (400-200/5) Amps. Oil filled </t>
  </si>
  <si>
    <t>33 kV CT's (300-150/5) Amps oil filled</t>
  </si>
  <si>
    <t>33 kV CT's (200-100/5) Amps oil filled</t>
  </si>
  <si>
    <t>33 kV CT's  (100-50/5) Amps. oil filled</t>
  </si>
  <si>
    <t>11 kV Single Phase PT's (Oil filled)</t>
  </si>
  <si>
    <t xml:space="preserve">(ii) R.S. Joist (175x85 mm) 9.3 Mtr long @ 19.495 Kg  per mtr x 9.3 mtr = 181.3 Kg/pole x 15 No = 2719.55 Kgs  </t>
  </si>
  <si>
    <t>LT Five Pin Cross arm</t>
  </si>
  <si>
    <t>Bimetallic clamp for Distribution Transformer (HT)</t>
  </si>
  <si>
    <t>Bimetallic clamp for Distribution Transformer (LT)</t>
  </si>
  <si>
    <t>T-Clamp for Dog Conductor.</t>
  </si>
  <si>
    <t>T-Clamp for Raccoon Conductor.</t>
  </si>
  <si>
    <t>T-Clamp for Panther Conductor.</t>
  </si>
  <si>
    <t>Jointing sleeves for Weasel, Squirrel &amp; Rabbit Conductor.</t>
  </si>
  <si>
    <t>Jointing sleeves for Panther Conductor.</t>
  </si>
  <si>
    <t>Bin Code No</t>
  </si>
  <si>
    <t>Cement @ 208 kg per Cmt</t>
  </si>
  <si>
    <t>Set.</t>
  </si>
  <si>
    <t>Red Oxide Paint</t>
  </si>
  <si>
    <t>(b)</t>
  </si>
  <si>
    <t>Service in lieu of concreting metal and sand</t>
  </si>
  <si>
    <t>Transport charges upto 50 Kms. Average lead from area store to const. camping site transport</t>
  </si>
  <si>
    <t>(ii) Stay Clamp for "H" Beam</t>
  </si>
  <si>
    <t>Suspension H/W suitable for Panther Conductor.</t>
  </si>
  <si>
    <t>Power Transformer 1600 kVA</t>
  </si>
  <si>
    <t>SET OF 3 O.C. RELAYS INSTANTANEOUS HIGH</t>
  </si>
  <si>
    <t>SET OF 2 O.C. +1 EARTH FAULT RELAY WITHO</t>
  </si>
  <si>
    <t>TESTER NEON/PENCIL/SCREW DRIVER</t>
  </si>
  <si>
    <t>THERMOMETER (WALL MOUNTED)</t>
  </si>
  <si>
    <t>6 TO 16 AMPS LT SINGLE PHASE MCB</t>
  </si>
  <si>
    <t>160AMPS(10 KA TP) MOULDED CASE CIRCUIT B</t>
  </si>
  <si>
    <t>LT ROBUST POLE FUSE UNIT</t>
  </si>
  <si>
    <t>L.T. Distribution Box for 63 kVA X'mer (200 A, isolator &amp; 6 SP MCCB of 100 A)</t>
  </si>
  <si>
    <t>L.T. Distribution Box for 100 kVA X'mer (200 A, isolator &amp; 6 SP MCCB of 200 A)</t>
  </si>
  <si>
    <t>L.T. Distribution Box for 200 kVA X'mer (400 A, isolator &amp; 6 SP MCCB of 120A)</t>
  </si>
  <si>
    <t>L.T. Distribution Box for 315 kVA X'mer (600 A, isolator &amp; 9 SP MCCB of 160A)</t>
  </si>
  <si>
    <t>Danger Board</t>
  </si>
  <si>
    <t>Particulars</t>
  </si>
  <si>
    <t>Guarding</t>
  </si>
  <si>
    <t>Labour Charges</t>
  </si>
  <si>
    <t xml:space="preserve">(i) Stay set 16 mm </t>
  </si>
  <si>
    <t>(i) Cement @ 208 Kg/Cmt</t>
  </si>
  <si>
    <t>Barbed Wire [@ 2 Kg/Pole]</t>
  </si>
  <si>
    <t xml:space="preserve">Binding wire and tape   </t>
  </si>
  <si>
    <t xml:space="preserve">Transport charges upto 50 Kms average lead from Area stores to construction camp inc. site transport (Transport Sch T-1) </t>
  </si>
  <si>
    <t>11 kV Disc Insulator</t>
  </si>
  <si>
    <t>(iii) Stay Clamp</t>
  </si>
  <si>
    <t xml:space="preserve">Material Code </t>
  </si>
  <si>
    <t>Description</t>
  </si>
  <si>
    <t>unit</t>
  </si>
  <si>
    <t>I-Bolt (big size)</t>
  </si>
  <si>
    <t>Foundation bolt</t>
  </si>
  <si>
    <t>Through Bolt</t>
  </si>
  <si>
    <t>Stay clamp for 140 kG PCC Pole</t>
  </si>
  <si>
    <t>Stay clamp HT per pair</t>
  </si>
  <si>
    <t>Strain Plate</t>
  </si>
  <si>
    <t>Dead-end Assembly (Suitable for all size cable)</t>
  </si>
  <si>
    <t>Straight line Suspension Assembly (Suitable for all size cable)</t>
  </si>
  <si>
    <t>Eye Hook</t>
  </si>
  <si>
    <t>Earth spike</t>
  </si>
  <si>
    <t>Pole Clamp</t>
  </si>
  <si>
    <t>Black Cambric tape 25 mm wide 7 mm thick and in rolls of 50 Mtr.</t>
  </si>
  <si>
    <t>PVC lnsulation Tapes 19 mm wide and in rolls of 10 Mtrs</t>
  </si>
  <si>
    <t>Grey Enamel Paint smoke/battle ship</t>
  </si>
  <si>
    <t>Cotton Tapes 19 mm wide and in rolls of 50 Mtrs</t>
  </si>
  <si>
    <t>Cotton Waste</t>
  </si>
  <si>
    <t>Hack saw blade 300x12.5 mm</t>
  </si>
  <si>
    <t>Monoplast</t>
  </si>
  <si>
    <t>Bitumen compound</t>
  </si>
  <si>
    <t>Providing, Fabricating and fixing 8 SWG Chain link fencing (TATA Make) 75 x 75 mm Size Gl Chain link Mesh fencing made out of 65 x 65 x 6 mm MS angle as per drawing no. T&amp;D/DRG/MISC/2 Revision -2</t>
  </si>
  <si>
    <t>Sq.mtr</t>
  </si>
  <si>
    <t>Pad Connector (for Panther conductor)</t>
  </si>
  <si>
    <t>Strain Plate (50x6 mm) for 11 kV</t>
  </si>
  <si>
    <t xml:space="preserve">(1) In 1 Phase 3 Wire L.T. three wire conductor will be reutilised. </t>
  </si>
  <si>
    <t>(2) In Case of replacement of Old conductor, new conductor may be incorporated in the estimate and depreciated value will be accounted for in the estimate.</t>
  </si>
  <si>
    <t>COST  SCHEDULE  D-13 (E-3)</t>
  </si>
  <si>
    <t>CONVERSION OF 1 kM 3 PHASE 5 WIRE LT LINE INTO 11 kV LINE</t>
  </si>
  <si>
    <t>140 Kg 8.0 meter long PCC Pole (for where ever required)</t>
  </si>
  <si>
    <t>11 kV Top Clamp Angle type with cleat.</t>
  </si>
  <si>
    <t>Earthing set (coil earth as per Drawing No.G/007</t>
  </si>
  <si>
    <t>(vi) I-Bolt big size.</t>
  </si>
  <si>
    <t>Nos</t>
  </si>
  <si>
    <t>11 kV 'V' Cross arm with back clamp</t>
  </si>
  <si>
    <t>11 kV Top clamp</t>
  </si>
  <si>
    <t>Universal Meter Box for HT meters.</t>
  </si>
  <si>
    <t>Test terminal Box (TTB)</t>
  </si>
  <si>
    <t>Barbed wire [@ 2 kg  per pole]</t>
  </si>
  <si>
    <t>(i) Stay Clamp for R.S. Joist</t>
  </si>
  <si>
    <t>Back filling of pole pit with boulder @ 0.3 Cmt./pole</t>
  </si>
  <si>
    <t>27</t>
  </si>
  <si>
    <t>Labour charges as per Sch. No.- DL-7</t>
  </si>
  <si>
    <t>Note:- All the rates are with considering price variation clause.</t>
  </si>
  <si>
    <t>COST SCHEDULE -- D-6 (2)</t>
  </si>
  <si>
    <t>140 Kg, 8.0 Mtr.  long PCC support Using 1100 V grade AB Cable 3x70 + 1x16 + 1x50 sqmm.</t>
  </si>
  <si>
    <t>RS Joist (175X85) mm 9.3 Mtr Long i.e. 19.495 kg/mtr x 9.3 mtr = 181.30 kg x 20 No = 3626.07 Kgs  Using 1100 V grade AB Cable 3x70 + 1x16 + 1x50 sqmm.</t>
  </si>
  <si>
    <t>H-BEAM 152x152 mm 37.1 Kg/Mtr 9.0 Mtr long i.e. 408.1 Kg/pole x10 Nos = 4081 Kgs   Using 1100 V grade AB Cable 3x70 + 1x16 + 1x50 sqmm.</t>
  </si>
  <si>
    <t>3x70 + 1x16 + 1x50 sqmm. (6% sag)</t>
  </si>
  <si>
    <t xml:space="preserve">1  KM  OF  1  PHASE  3  WIRE  LINE  ON  140 KG. PCC  POLE  8 MTR.  LONG  USING  AB  XLPE  CABLE  FOR  RURAL  AREAS  WITH MAXIMUM  SPAN  50  MTRS.  </t>
  </si>
  <si>
    <t>140 Kg, 8.0 Mtr. long PCC support Using 1100 V grade AB Cable 1x25 + 1x16 + 1x25 sqmm.</t>
  </si>
  <si>
    <t>Earlier- Piercing connector suitable for 25/16 Sq.mm-50/35 Sqmm AB Cable-for street light</t>
  </si>
  <si>
    <t>Earlier- Piercing connector suitable for 25/16 Sq.mm-50/35 Sqmm AB Cable-Distribution Box (3 Nos. per 3 phase DB &amp; 1 No. per 1 phase DB)</t>
  </si>
  <si>
    <t>Earlier- Piercing connector suitable for AB Cable to AB Cable Tee connections.</t>
  </si>
  <si>
    <t>Earlier- Piercing connector suitable for 25/16 Sq.mm-50/35 Sqmm AB Cable</t>
  </si>
  <si>
    <t xml:space="preserve">Earlier- Piercing connector 50 Sqmm </t>
  </si>
  <si>
    <t xml:space="preserve">Earlier- Piercing connector  </t>
  </si>
  <si>
    <t xml:space="preserve">1 Km.  OF  3  PHASE  4  WIRE LT  LINE WITH AERIAL BUNCH CABLE FOR  PUMP CONNECTION UPTO 5 HP &amp; 5 CONNECTION PER KM. WITH MAXIMUM  SPAN  50  MTRS.  </t>
  </si>
  <si>
    <t>Rate (Rs.)</t>
  </si>
  <si>
    <t xml:space="preserve">25 mm dia 2500 mm long GI rod earth electrodes </t>
  </si>
  <si>
    <t>Qnty.</t>
  </si>
  <si>
    <t>(ii) For replacement of deteriorated conductor of LT line suitable provision should be made while preparing the estimates</t>
  </si>
  <si>
    <t>COST  SCHEDULE   D-11</t>
  </si>
  <si>
    <t>LT  LINE  CONVERSION  USING  RABBIT  CONDUCTOR  MAXIMUM  SPAN  OF 45  MTRS.</t>
  </si>
  <si>
    <t>H.R.C. FUSE UNITS: -200 Amps.</t>
  </si>
  <si>
    <t>H.R.C. FUSE UNITS: -300 Amps.</t>
  </si>
  <si>
    <t>F WIRE TINNED COPER 22 SWG24 AMP.RATING</t>
  </si>
  <si>
    <t>FUSE WIRE TINNED COPPER 20 SWG FOR 34 AM</t>
  </si>
  <si>
    <t>FUSE WIRE TINNED COPPER 18 SWG FOR 45 AM</t>
  </si>
  <si>
    <t>FUSE WIRE TINNED COPPER 16 SWG FOR 73 AM</t>
  </si>
  <si>
    <t>FUSE WIRE TINNED COPPER 14 SWG FOR 102 A</t>
  </si>
  <si>
    <t>FUSE WIRE TINNED COPPER 12 SWG</t>
  </si>
  <si>
    <t>FUSE WIRE TINNED COPPER 10 SWG</t>
  </si>
  <si>
    <t>PORCELAIN KIT-KATS FUSE UNITS 32 Amps.</t>
  </si>
  <si>
    <t>PORCELAIN KIT-KATS FUSE UNITS 63 Amps.</t>
  </si>
  <si>
    <t>LT 3 phase 5 Wire Aerial Bunched Cable of Size 3X95+1x35+1x70</t>
  </si>
  <si>
    <t>Suspension Clamp (Suitable for all size cable)</t>
  </si>
  <si>
    <t>Distribution box 1 ph. 4 connectors</t>
  </si>
  <si>
    <t>Distribution box 3 phase 2 connectors</t>
  </si>
  <si>
    <t>Spring loaded distribution box for service connection with stainless steel buckle.</t>
  </si>
  <si>
    <t>Piercing connector for services 16-50 Sq. mm Tap off 2.5-16 Sq. mm</t>
  </si>
  <si>
    <t>Piercing connector suitable for 16 Sq.mm-95 Sq.mm AB Cable-Service connections</t>
  </si>
  <si>
    <t>Piercing connector for Main 16-50 Sq. mm Tap off 16-50 Sq. mm.</t>
  </si>
  <si>
    <t>Piercing connector suitable for 25 Sq.mm-95 Sq.mm AB Cable-main to main connections</t>
  </si>
  <si>
    <t>Piercing connector suitable for 50 Sq.mm-150 Sq.mm AB Cable-main to main connections</t>
  </si>
  <si>
    <t xml:space="preserve">250 Watt Metal Halide  </t>
  </si>
  <si>
    <t xml:space="preserve">250 Watt Sodium Vapour 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</si>
  <si>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</si>
  <si>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</si>
  <si>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</si>
  <si>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</si>
  <si>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</si>
  <si>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</si>
  <si>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HPSV Choke 250 watt</t>
  </si>
  <si>
    <t>150 Watt metal halide fitting / HPSV fitting</t>
  </si>
  <si>
    <t>250 Watt metal halide fitting / HPSV fitting</t>
  </si>
  <si>
    <t>Mercury vapour lamp for Gate lighting 2 Nos</t>
  </si>
  <si>
    <t>Aluminium binding wire and tape.</t>
  </si>
  <si>
    <t>Aluminium bobbin.</t>
  </si>
  <si>
    <t>Three Phase, 10-60 Amps. with poly carbonate Meter Box</t>
  </si>
  <si>
    <t>Three Phase, 20-100 Amps. with Meter Box with data storage.</t>
  </si>
  <si>
    <t>CT operated electronic static meters 100/5 Amp. With data storage.</t>
  </si>
  <si>
    <t>CT operated electronic static meters with DLMS.</t>
  </si>
  <si>
    <t>CT operated electronic static meters with AMR (Composite Unit).</t>
  </si>
  <si>
    <t>LT 1 phase 2 Wire AB XLPE Cable 1x16 + 1x25 sqmm. (6% sag)</t>
  </si>
  <si>
    <t>Barbed wire [(@ 2 kg per pole]</t>
  </si>
  <si>
    <t>COST SCHEDULE -- E-1</t>
  </si>
  <si>
    <t>Cable marker for U/G cable</t>
  </si>
  <si>
    <t>1</t>
  </si>
  <si>
    <t>2</t>
  </si>
  <si>
    <t>3</t>
  </si>
  <si>
    <t>6</t>
  </si>
  <si>
    <t>M.S.Nuts and Bolts</t>
  </si>
  <si>
    <t>Each</t>
  </si>
  <si>
    <t>Cost for meter replacement of a Three Phase Consumer (Round Off)</t>
  </si>
  <si>
    <t>No of Consumers for Meter Replacement</t>
  </si>
  <si>
    <t>COST SCHEDULE -- E-4</t>
  </si>
  <si>
    <t>THREE  PHASE  CONNECTION  CT- OPERATED  METERS</t>
  </si>
  <si>
    <t>CT Operated Electronic Static Meters 100/5 Amp. with data storage</t>
  </si>
  <si>
    <t>Cost for meter replacement of Three Phase Consumer CT Operated Meters</t>
  </si>
  <si>
    <t>Cost for meter replacement of 3- Phase Consumer CT Operated Meters (Round Off)</t>
  </si>
  <si>
    <t>COST  SCHEDULE -- E-5</t>
  </si>
  <si>
    <t xml:space="preserve">METER  SHIFTING  OF  SINGLE  PHASE  CONSUMER  TO  OUTSIDE  OF  PREMISES WITH  NEW  SERVICE  CABLE </t>
  </si>
  <si>
    <t xml:space="preserve">Armoured Service Cable - Single Phase, 2 core- 6 sq. mm. </t>
  </si>
  <si>
    <t>Cost for meter shifting of a Single Phase Consumer</t>
  </si>
  <si>
    <t>Cost for meter shifting of a Single Phase Consumer (Round Off)</t>
  </si>
  <si>
    <t>COST  SCHEDULE -- E-6</t>
  </si>
  <si>
    <t xml:space="preserve">METER  SHIFTING  OF  THREE  PHASE  CONSUMER  TO  OUTSIDE  OF  PREMISES  WITH  NEW SERVICE  CABLE </t>
  </si>
  <si>
    <t xml:space="preserve">Armoured Service Cable - Three Phase , 4 core-10 sq mm </t>
  </si>
  <si>
    <t>Cost for meter shifting of a Three Phase Consumer</t>
  </si>
  <si>
    <t>Cost for meter shifting of a Three Phase Consumer (Round Off)</t>
  </si>
  <si>
    <t xml:space="preserve">16 kVA (4 Star) Aluminium Wound </t>
  </si>
  <si>
    <t xml:space="preserve">25 kVA (4 Star) Aluminium Wound </t>
  </si>
  <si>
    <t xml:space="preserve">63 kVA (4 Star) Aluminium Wound </t>
  </si>
  <si>
    <t xml:space="preserve">100 kVA (4 Star) Aluminium Wound </t>
  </si>
  <si>
    <t xml:space="preserve">200 kVA (4 Star) Aluminium Wound </t>
  </si>
  <si>
    <t xml:space="preserve">16 kVA (3 Star) Copper Wound </t>
  </si>
  <si>
    <t xml:space="preserve">25 kVA (3 Star) Aluminium Wound </t>
  </si>
  <si>
    <t>63 kVA (3 Star) Aluminium Wound</t>
  </si>
  <si>
    <t>100 kVA (3 Star) Aluminium Wound</t>
  </si>
  <si>
    <t>200 kVA (3 Star) Aluminium Wound</t>
  </si>
  <si>
    <t>25 kVA (Conventional)</t>
  </si>
  <si>
    <t xml:space="preserve">63 kVA (Conventional) </t>
  </si>
  <si>
    <t xml:space="preserve">100 kVA (Conventional) </t>
  </si>
  <si>
    <t xml:space="preserve">200 kVA (Conventional) </t>
  </si>
  <si>
    <t xml:space="preserve">315 kVA (Conventional) </t>
  </si>
  <si>
    <t xml:space="preserve">315 kVA (CEA Design) </t>
  </si>
  <si>
    <t xml:space="preserve">500 kVA (Conventional) </t>
  </si>
  <si>
    <t xml:space="preserve">5 kVA Single Phase </t>
  </si>
  <si>
    <t xml:space="preserve">10 kVA Single Phase </t>
  </si>
  <si>
    <t>50 kVA (Copper winding)</t>
  </si>
  <si>
    <t>KL</t>
  </si>
  <si>
    <t>Incidental Charges @ 9% : -</t>
  </si>
  <si>
    <t xml:space="preserve">SUB TOTAL-1 </t>
  </si>
  <si>
    <t xml:space="preserve">SUB TOTAL-2 </t>
  </si>
  <si>
    <t>Overhead Charges @ 11% [Market Fluctuation, Service Tax, Contractor's profit etc.]</t>
  </si>
  <si>
    <t>Transportation charges</t>
  </si>
  <si>
    <r>
      <t>33 kV VCB</t>
    </r>
    <r>
      <rPr>
        <sz val="10"/>
        <rFont val="Verdana"/>
        <family val="2"/>
      </rPr>
      <t xml:space="preserve"> without control panel &amp; CT's.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</si>
  <si>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</si>
  <si>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</si>
  <si>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r>
      <t>33 kV</t>
    </r>
    <r>
      <rPr>
        <sz val="10"/>
        <rFont val="Verdana"/>
        <family val="2"/>
      </rPr>
      <t xml:space="preserve"> feeder control panel (Static Relays).</t>
    </r>
  </si>
  <si>
    <t>11 kV Sectionalizer.</t>
  </si>
  <si>
    <t>11 kV ; 600 Amps.</t>
  </si>
  <si>
    <t>33 kV ; 600 Amps with earth switch.</t>
  </si>
  <si>
    <t>Cement</t>
  </si>
  <si>
    <t xml:space="preserve">Transportation charges </t>
  </si>
  <si>
    <t xml:space="preserve">Binding wire and tape  </t>
  </si>
  <si>
    <t>ROUTE &amp; JOINT INDICATING STONE WITH M.S.</t>
  </si>
  <si>
    <t>Aluminium Paint.</t>
  </si>
  <si>
    <t>Red Oxide Paint.</t>
  </si>
  <si>
    <t>LT AB CABLE 3X70+1X16 (STREET LIGHT)+1X5</t>
  </si>
  <si>
    <t>ISI MARKED CABLE ALU 1CORE 70 SQMM 1100V</t>
  </si>
  <si>
    <t>ISI MARKED CABLE ALU 1CORE 120 SQMM 1100</t>
  </si>
  <si>
    <t>ISI MARKED CABLE ALU 1CORE 35 SQMM 1100V</t>
  </si>
  <si>
    <t>ISI MARKED CABLE ALU 1CORE 50 SQMM 1100V</t>
  </si>
  <si>
    <t>1.1KV LT AB CABLE 3X16+1X16+1X25 SQMM</t>
  </si>
  <si>
    <t>1.1KV LT AB CABLE 3X25+1X16+1X25 SQMM</t>
  </si>
  <si>
    <t>1.1KV LT AB CABLE 3X35+1X16+1X25 SQMM</t>
  </si>
  <si>
    <t>11KV PVC INSULATED 2.5 SQMM TWIN CORE SI</t>
  </si>
  <si>
    <t>11KV PVC INSULATED 6 SQMM TWIN CORE SING</t>
  </si>
  <si>
    <t>11KV PVC INSULATED 10 SQMM FOUR CORE THR</t>
  </si>
  <si>
    <t>11KV PVC INSULATED 150SQMM SINGLE CORE X</t>
  </si>
  <si>
    <t>11KV PVC INSULATED 16SQMM 2 CORE ARMOURE</t>
  </si>
  <si>
    <t>11KV PVC INSULATED 10SQMM 4 CORE ARMOURE</t>
  </si>
  <si>
    <t>33KV A.B. XLPE CABLE 3X95 SQMM</t>
  </si>
  <si>
    <t>33KV A.B. XLPE CABLE 3X185 SQMM</t>
  </si>
  <si>
    <t>33KV A.B. XLPE CABLE 3X240 SQMM</t>
  </si>
  <si>
    <t>11KV ABC TERMINATION KIT 35-70 SQMM</t>
  </si>
  <si>
    <t>CABLE TIE FOR AB CABLE (UV PROTECTED BLA</t>
  </si>
  <si>
    <t>Jointing kit 33KV 3x400sqmm XLPE cable</t>
  </si>
  <si>
    <t>1.1KV STRAIGHT THROUGH JOINTING KIT FOR</t>
  </si>
  <si>
    <t>33KV END TERMINAL JOINTING KIT FOR 240SQ</t>
  </si>
  <si>
    <t>3X95 SQMM 11KV HEAT SHRINKABLE TYPE JOIN</t>
  </si>
  <si>
    <t>3X150 SQMM 11KV HEAT SHRINKABLE TYPE JOI</t>
  </si>
  <si>
    <t>3X240 SQMM 11KV HEAT SHRINKABLE TYPE JOI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</si>
  <si>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</si>
  <si>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</si>
  <si>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</si>
  <si>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</si>
  <si>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</t>
  </si>
  <si>
    <t>10 SQMM ALUMINIUM END TERMINALS (LUGS)</t>
  </si>
  <si>
    <t>Earthing coil (Coil of 115 turns of 50 mm dia. &amp; 2.5 Mtrs lead of 4.0 mm GI wire)</t>
  </si>
  <si>
    <t>Barbed wire</t>
  </si>
  <si>
    <t>52 kgs per mtr/105 lbs yard</t>
  </si>
  <si>
    <t>MT</t>
  </si>
  <si>
    <t>60 kgs per mtr</t>
  </si>
  <si>
    <t xml:space="preserve"> 37.1 Kg/Mtr.; 13 Mtr. Length</t>
  </si>
  <si>
    <t xml:space="preserve"> 37.1 Kg/Mtr.; 11 Mtr. Length</t>
  </si>
  <si>
    <t>175 x 85 mm</t>
  </si>
  <si>
    <t>125 x 70 mm</t>
  </si>
  <si>
    <t>140 Kg; 8.0 Mtr long</t>
  </si>
  <si>
    <t>Km.</t>
  </si>
  <si>
    <t>16 Sq.mm.</t>
  </si>
  <si>
    <t>KM</t>
  </si>
  <si>
    <t>50 Sq.mm.</t>
  </si>
  <si>
    <t>70 Sq.mm</t>
  </si>
  <si>
    <t>150 Sq.mm</t>
  </si>
  <si>
    <t>300 Sq.mm</t>
  </si>
  <si>
    <t>400 Sq.mm</t>
  </si>
  <si>
    <t>2015-16</t>
  </si>
  <si>
    <t>G.I. bend 200 mm</t>
  </si>
  <si>
    <t>(ii)</t>
  </si>
  <si>
    <t>(iii)</t>
  </si>
  <si>
    <t>(v)</t>
  </si>
  <si>
    <t>Distribution Board with MCB</t>
  </si>
  <si>
    <t>Pair</t>
  </si>
  <si>
    <t xml:space="preserve">Rate </t>
  </si>
  <si>
    <t>Amount</t>
  </si>
  <si>
    <t>Set</t>
  </si>
  <si>
    <t>No.</t>
  </si>
  <si>
    <t>Mtr.</t>
  </si>
  <si>
    <t>Ltr.</t>
  </si>
  <si>
    <t xml:space="preserve"> </t>
  </si>
  <si>
    <t>16x40 mm</t>
  </si>
  <si>
    <t>Km</t>
  </si>
  <si>
    <t>Stainless steel strap with buckle for installation of Service Distribution Box.</t>
  </si>
  <si>
    <t>Service Ring</t>
  </si>
  <si>
    <t>PVC insulated single core 16 sq.mm. cable @ 6 mtr. per 3 phase box</t>
  </si>
  <si>
    <t xml:space="preserve">Straight through joints </t>
  </si>
  <si>
    <t>End cap for 50/70 Sq.mm</t>
  </si>
  <si>
    <t>SHACKEL INSULATORS 90 x 75 mm.</t>
  </si>
  <si>
    <t>Stay insulators.</t>
  </si>
  <si>
    <t>GI Pin for 11 KV Pin insulator</t>
  </si>
  <si>
    <t>GI Pin for 33 KV Pin insulator</t>
  </si>
  <si>
    <t>Aluminium Bobbin.</t>
  </si>
  <si>
    <t>7H.W. 50X65MM LT SHACKLE INSULATOR CMPLT</t>
  </si>
  <si>
    <t>HARDWARE FOR 75X90MM LTSHACKLE INSULATOR</t>
  </si>
  <si>
    <t>11 KV Strain hardware fittings.</t>
  </si>
  <si>
    <t>33 KV Strain hardware fittings.</t>
  </si>
  <si>
    <t>SSH ASSEMBLY WITH ARCING HORN FOR PANTHE</t>
  </si>
  <si>
    <t>Earlier- 11 kV Disc Insulator</t>
  </si>
  <si>
    <t>11 kV Polymer Disc Insulator</t>
  </si>
  <si>
    <t>Earlier- 11 kV L.A. set</t>
  </si>
  <si>
    <t xml:space="preserve">11 kV Polymer Lightning Arrestor </t>
  </si>
  <si>
    <t>Earlier- 11 kV Pin Insulator</t>
  </si>
  <si>
    <t>11 kV Polymeric Pin Insulator with Pin</t>
  </si>
  <si>
    <t>ITEMS REMOVED  FROM SoR 2015-16</t>
  </si>
  <si>
    <t>1  KM  OF  3  PHASE  5  WIRE  LINE  ON  140 KG. PCC  POLE  8 MTR.  LONG  USING  AB  XLPE  CABLE  FOR  RURAL  AREAS  WITH MAXIMUM  SPAN  50  MTRS.  AND  R.S. JOIST/H-BEAM  POLE  SUPPORT  USING  AB  XLPE  CABLE  WITH  MAXIMUM  SPAN  50  METER  URBAN  AREA</t>
  </si>
  <si>
    <t>140 Kg, 8.0 Mtr.  long PCC support</t>
  </si>
  <si>
    <t xml:space="preserve">RS Joist (175X85) mm 9.3 Mtr Long i.e. 19.495 kg/mtr x 9.3 mtr=181.30 kg x 20 No =3626.07 Kgs </t>
  </si>
  <si>
    <t xml:space="preserve">H-BEAM 152x152 mm 37.1 Kg/Mtr 9.0 Mtr long i.e. 408.1 Kg/pole x10 Nos= 4081 Kgs  </t>
  </si>
  <si>
    <t>Using 1100 V grade AB Cable 3x50 + 1x25 + 1x35 sqmm.</t>
  </si>
  <si>
    <t>Using 1100 V grade AB Cable 3x25 + 1x16 + 1x25 sqmm.</t>
  </si>
  <si>
    <t xml:space="preserve">Amount </t>
  </si>
  <si>
    <t>1(a)</t>
  </si>
  <si>
    <t xml:space="preserve">RS Joist (175X85) mm 9.3 Mtr Long i.e.19.495 kg/mtr x 9.3 mtr=181.30 kg x 20 No = 3626.07 Kgs </t>
  </si>
  <si>
    <t xml:space="preserve">(i) Stay Set 16 mm </t>
  </si>
  <si>
    <t>Universal distribution connector (1 No. per pole)</t>
  </si>
  <si>
    <t>Labour charges [as per Sch. No.- DL-6(B)]</t>
  </si>
  <si>
    <t>11KV 8 FEET CENTRE DC CROSS ARM</t>
  </si>
  <si>
    <t>33 KV V CROSS ARM</t>
  </si>
  <si>
    <t>GSM MODEM</t>
  </si>
  <si>
    <t>EYE HOOK</t>
  </si>
  <si>
    <t>33 KV guarding channel 100x50 mm.</t>
  </si>
  <si>
    <t>LAMP METAL HALIDE 250W</t>
  </si>
  <si>
    <t>METAL HALIDE LAMP 250 WATT</t>
  </si>
  <si>
    <t>LAMPS: -Tube Light (40 Watts.)</t>
  </si>
  <si>
    <t>250 WATT SODIUM VAPOUR LAMP WITH HOLDER</t>
  </si>
  <si>
    <t>MERCURY VAPOUR LAMP 250 WATTS 230/250 VO</t>
  </si>
  <si>
    <t>S/ V HIGH PRESSURE LAMP 400W 230/250V</t>
  </si>
  <si>
    <t>CFL 20 WATTS LAMP</t>
  </si>
  <si>
    <t>STREET LIGHT FITTING WITH TUBE LIGHT</t>
  </si>
  <si>
    <t>STREET LIGHT FITTING WITH CFL</t>
  </si>
  <si>
    <t>HPSV LAMP 150 WATT</t>
  </si>
  <si>
    <t>HPSV LAMP 250 WATT</t>
  </si>
  <si>
    <t>150 WATT METAL HALIDE HPSV FITTING</t>
  </si>
  <si>
    <t>250 WATT METAL HALIDE HPSV FITTING</t>
  </si>
  <si>
    <t>ENERGY METER ENECTRONIC 10-60 AMPS</t>
  </si>
  <si>
    <t>SUMMATION METER</t>
  </si>
  <si>
    <t>DC VOLT METER RANG -3V TO +5V</t>
  </si>
  <si>
    <t>STATIC ENERGY METER S.PH 2 WIRE 5-30 A</t>
  </si>
  <si>
    <t>Common Meter Reading Instrument CMRI</t>
  </si>
  <si>
    <t>HT TRIVECTOR METER 5 AMPS</t>
  </si>
  <si>
    <t>ELECTORNIC LTCT METER 3X4 100/5 A</t>
  </si>
  <si>
    <t>3PHASE 4WIRE HT TRIVECTOR STATIC (ELECTR</t>
  </si>
  <si>
    <t>3PHASE 4WIRE 1AMP HT TRIVECTOR STATIC (</t>
  </si>
  <si>
    <t>3PHASE 3WIRE 1AMP HT TRIVECTOR STATIC (</t>
  </si>
  <si>
    <t>TTB</t>
  </si>
  <si>
    <t>LT ELEC.STATIC METER3X4X20-100A WITHLUGS</t>
  </si>
  <si>
    <t>3 PHASE 4 WIRE LTCT OPERATED METER</t>
  </si>
  <si>
    <t>MULTIMETER ELECTRONIC DIGITAL</t>
  </si>
  <si>
    <t>MEGGER 1000VOLTS</t>
  </si>
  <si>
    <t>Poly Carbonate seals for meter</t>
  </si>
  <si>
    <t>Poly Carbonate seal double anker type</t>
  </si>
  <si>
    <t>LT Feeder Piller box for 1 phase 8 connection made of M.S.Sheet.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</si>
  <si>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</si>
  <si>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</si>
  <si>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</si>
  <si>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t>L.T.Line Spacers</t>
  </si>
  <si>
    <t>GSM Modem</t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</si>
  <si>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</si>
  <si>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</si>
  <si>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</si>
  <si>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</si>
  <si>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</si>
  <si>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</si>
  <si>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</si>
  <si>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</si>
  <si>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</si>
  <si>
    <t>METERING  OF  11/0.4  kV  DISTRIBUTION  TRANSFORMER  (TO  BE  SUPPLEMENTED  WITH  COST SCHEDULE  C-7 (A1, A2, B1, B2, C1, C2)</t>
  </si>
  <si>
    <t>Poly phase static energy meter 10-60 Amp. with meter box</t>
  </si>
  <si>
    <t>1(b)</t>
  </si>
  <si>
    <t>LT CT :-</t>
  </si>
  <si>
    <t>(i) 100/5 Amp.</t>
  </si>
  <si>
    <t>(ii) 200/5 Amp.</t>
  </si>
  <si>
    <t>(iii) 300/5 Amp.</t>
  </si>
  <si>
    <t>Meter Box (G.I. Plain sheet) for 3 Phase LT CT operated meter.</t>
  </si>
  <si>
    <t>Copper control cable 4 core 2.5 sq.mm Unarmoured</t>
  </si>
  <si>
    <t xml:space="preserve">Labour &amp; Transportation charges </t>
  </si>
  <si>
    <t>Cost of Metering for non-guaranteed works</t>
  </si>
  <si>
    <t>Transformer mounting arrangement DC cross arm 100x50x6 mm. 2.7 mtr long 8' Centre</t>
  </si>
  <si>
    <t>DC cross arm 100x50x6 mm 8 ' Centre 2.7 mtr long</t>
  </si>
  <si>
    <t>DO Mounting Channel</t>
  </si>
  <si>
    <t>11 kV Single Pole cut point channel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</si>
  <si>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</si>
  <si>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</si>
  <si>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Sub-station)</t>
  </si>
  <si>
    <t>30</t>
  </si>
  <si>
    <t>31</t>
  </si>
  <si>
    <t>Labour charges [as per Sch. No.- DL-12]</t>
  </si>
  <si>
    <t xml:space="preserve">Note:- </t>
  </si>
  <si>
    <t>All the rates are considering with price variation clause. Actual returnable material schedule may be prepared separately.</t>
  </si>
  <si>
    <t>COST SCHEDULE  D-10</t>
  </si>
  <si>
    <t>CONVERSION  OF 1 KM  LT  LINE  INTO 11 kV LINE</t>
  </si>
  <si>
    <t>140 Kg 8.0 meter long PCC Poles (for where ever required )</t>
  </si>
  <si>
    <t>11 kV 'V' Cross arm with clamp</t>
  </si>
  <si>
    <t>Earthing set (coil earth as per Drawing No.G/007)</t>
  </si>
  <si>
    <t xml:space="preserve">Jointing sleeves suitable for Weasel/ Rabbit conductor  </t>
  </si>
  <si>
    <t xml:space="preserve">Binding wires &amp; tape  </t>
  </si>
  <si>
    <t xml:space="preserve">Nuts and bolts                                                         </t>
  </si>
  <si>
    <t>(i) 11 kV Guarding Channel 100x50 mm set.</t>
  </si>
  <si>
    <t>(iii) Stay clamp (Pair) H.T.</t>
  </si>
  <si>
    <t>(iv) Stay wire 7/10 SWG @ 5.5 kg/stay</t>
  </si>
  <si>
    <t>(v) Stay set 16 mm.</t>
  </si>
  <si>
    <t>(vi) I - Bolt big size.</t>
  </si>
  <si>
    <t xml:space="preserve">Concreting of stay @ 0.2 Cmt per stay and 0.05 Cmt base pad per pole </t>
  </si>
  <si>
    <t>Cement @ 208 Kg per Cmt</t>
  </si>
  <si>
    <t>Back filling of poles with bolders @ of 0.3 Cmt per pole</t>
  </si>
  <si>
    <t>Labour charges as per Schedule  No. DL-3 (E-1)</t>
  </si>
  <si>
    <t xml:space="preserve">Cost per Km. for Non guaranteed works </t>
  </si>
  <si>
    <t>Cost per Km. for Non guaranteed works (Rounded off)</t>
  </si>
  <si>
    <t xml:space="preserve">(i) Three wire LT line will be utilized for converting into 11 kV line. </t>
  </si>
  <si>
    <t>Cmt.</t>
  </si>
  <si>
    <t>11 kV Top Clamp Angle type with cleat</t>
  </si>
  <si>
    <t>DIGITAL TONG TESTER 3 1/2 DIGITAL LCD DI</t>
  </si>
  <si>
    <t>HAND TORCH 3 CELLED</t>
  </si>
  <si>
    <t>DRY CHEMICAL POWER FIRE</t>
  </si>
  <si>
    <t>RIVER SAND</t>
  </si>
  <si>
    <t>OIL IMMERSED 3 PHASE CTPT UNITS 200/5</t>
  </si>
  <si>
    <t>CT/PT UNIT 33KV/110 V 400-200/5 A OIL</t>
  </si>
  <si>
    <t>VOLTAGE TRANSFORMER 11 K V/110 VOLTS SIN</t>
  </si>
  <si>
    <t>VOLTAGE TRANSFORMER 33KV/110VOLTS SINGLE</t>
  </si>
  <si>
    <t>VOLTAGE TRANSFORMER 132KV/110V SINGLE PH</t>
  </si>
  <si>
    <t>VOLTAGE X-MER 220KV/110-63.5V SINGLE PH</t>
  </si>
  <si>
    <t>SAFETY BELTS</t>
  </si>
  <si>
    <t>SAFETY HELMETS</t>
  </si>
  <si>
    <t>Earlier- Suspension clamp assembly 25 to 95 sq.mm bare messenger</t>
  </si>
  <si>
    <t xml:space="preserve">Earlier- Suspension clamp assembly </t>
  </si>
  <si>
    <t>COST  SCHEDULE  FOR  ADDITIONAL  POLES  (MID SPAN)  FOR  LT  LINE  WITH  AB  CABLE</t>
  </si>
  <si>
    <t>RSJ (125x70 mm) 9.3 Mtr long @ 13.198 kg</t>
  </si>
  <si>
    <t>Concreting of Pole @ 0.05 Cmt for base pad and support @ 0.3 Cmt per pole</t>
  </si>
  <si>
    <t>3 (i)</t>
  </si>
  <si>
    <t>75 x 75 x 6 mm</t>
  </si>
  <si>
    <t>1:1.5:3 Ratio</t>
  </si>
  <si>
    <t>1:3:6 Ratio</t>
  </si>
  <si>
    <t>16 Sq.mm, 4 Core</t>
  </si>
  <si>
    <t>25 Sq.mm, 4 Core</t>
  </si>
  <si>
    <t>Unit rate for 2015-16</t>
  </si>
  <si>
    <t>SAP DESCRIPTION</t>
  </si>
  <si>
    <t>33KV 400 sqmm XLPE cable (Underground)</t>
  </si>
  <si>
    <t>2 Core (ARMOURED)</t>
  </si>
  <si>
    <t>2 Core (UNARMOURED)</t>
  </si>
  <si>
    <t>4 Core (UNARMOURED)</t>
  </si>
  <si>
    <t>4 Core (ARMOURED)</t>
  </si>
  <si>
    <t>8 Core (UNARMOURED)</t>
  </si>
  <si>
    <t>10 Core (UNARMOURED)</t>
  </si>
  <si>
    <t>10 Core (ARMOURED)</t>
  </si>
  <si>
    <t>12 Core (UNARMOURED)</t>
  </si>
  <si>
    <t>33 kV ; 600 Amps without earth switch.</t>
  </si>
  <si>
    <t xml:space="preserve">  5 kVAR</t>
  </si>
  <si>
    <t>10 kVAR</t>
  </si>
  <si>
    <t>12 kVAR</t>
  </si>
  <si>
    <t>20 kVAR</t>
  </si>
  <si>
    <t>1089 kVAR 12.1 kV 3-phase 50 Hz Outdoor type Capacitor bank having step as 363</t>
  </si>
  <si>
    <r>
      <t>Total Cost</t>
    </r>
    <r>
      <rPr>
        <b/>
        <sz val="12"/>
        <rFont val="Arial"/>
        <family val="2"/>
      </rPr>
      <t xml:space="preserve"> Round Off</t>
    </r>
  </si>
  <si>
    <t xml:space="preserve">Total Cost </t>
  </si>
  <si>
    <t>Unit earlier-Lot</t>
  </si>
  <si>
    <t>OIL IMM 3 PH CTPT UNITS 11 KV 15/5 A</t>
  </si>
  <si>
    <t>OIL IMM 3 PH CTPT UNITS 11 KV 300-150/5A</t>
  </si>
  <si>
    <t>OIL IMM 3 PH CTPT UNITS 11 KV 25/5 A</t>
  </si>
  <si>
    <t>OIL IMM 3 PH CTPT UNITS 11 KV 75/5 A</t>
  </si>
  <si>
    <t>OIL IMM 3 PH CTPT UNITS 11 KV 200-100/5A</t>
  </si>
  <si>
    <t>OIL IMMERSED 3 PH CTPT UNITS-11 KV 50/5A</t>
  </si>
  <si>
    <t>OIL IMM 3 PH CTPT UNITS 33 KV - 20/5 A</t>
  </si>
  <si>
    <t>OIL IMM 3 PH CTPT UNITS 33 KV-200-100/5A</t>
  </si>
  <si>
    <t>OIL IMM 3 PH CTPT UNITS 33 KV - 5/5A</t>
  </si>
  <si>
    <t>OIL IMM 3 PH CTPT UNITS 33 KV - 10/5 A</t>
  </si>
  <si>
    <t>OIL IMM 3 PH CTPT UNITS 33 KV - 30/5A</t>
  </si>
  <si>
    <t>OIL IMM 3 PH CTPT UNITS 33 KV - 50/5 A</t>
  </si>
  <si>
    <t>OIL IMM 3 PH CTPT UNITS 33 KV-100&amp;200/5A</t>
  </si>
  <si>
    <t>19</t>
  </si>
  <si>
    <t>End terminating jointing kit for 400 sqmm XLPE cable</t>
  </si>
  <si>
    <r>
      <t>(1) In 3 Phase 5 Wire LT system,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conductor i.e. neutral conductor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conductor will be returned to Area Stores and depreciated value of neutral conductor will be accounted for at the time of estimate framing. L.T. Phase conductor will be reutilised. </t>
    </r>
  </si>
  <si>
    <t>(2) In case of replacement of Old conductor, new conductor may be incorporated in the estimate and depreciated value will be accounted for in the estimate.</t>
  </si>
  <si>
    <t>COST SCHEDULE -- D-14</t>
  </si>
  <si>
    <t>DISTRIBUTION  BOX  ON  EXISTING  LT  LINES  FOR  SERVICE  CONNECTIONS</t>
  </si>
  <si>
    <t>DESCRIPTION</t>
  </si>
  <si>
    <t>Single phase Distribution box for 9 connections</t>
  </si>
  <si>
    <t>Three phase Distribution box for 5 connections</t>
  </si>
  <si>
    <t>1  KM  OF  1  PHASE  2  WIRE  LINE  ON  140 KG. PCC  POLE  8 MTR.  LONG  USING  AB  XLPE  CABLE  FOR  RURAL  AREAS  WITH MAXIMUM  SPAN  50  MTRS.</t>
  </si>
  <si>
    <t>140 Kg, 8.0 Mtr. long PCC support Using 1100 V grade AB Cable 1x16 + 1x25 sqmm.</t>
  </si>
  <si>
    <t xml:space="preserve">Suspension clamp assembly (consisting of GI Pole Clamp, GI Flat type I-hook &amp; Nylon Cable tie). </t>
  </si>
  <si>
    <t>11KV D.O.FUSE ELEMENT (1.5 AMP TO 10 AMP</t>
  </si>
  <si>
    <t>HRC FUSE 250 AMPS</t>
  </si>
  <si>
    <t>HRC FUSE 400 AMPS</t>
  </si>
  <si>
    <t>FUSE ELEMENT 25 AMPS FOR 33 KV DO</t>
  </si>
  <si>
    <t>FUSE ELEMENT 50 AMPS FOR 33 KV DO</t>
  </si>
  <si>
    <t>H.R.C. FUSE UNITS: -100 Amps.</t>
  </si>
  <si>
    <t>TRANSFORMER 11/.4KV 10 KVA 1 PHASE</t>
  </si>
  <si>
    <t>TRANSFORMER 11/.4KV 16 KVA 3 PHASE COPPE</t>
  </si>
  <si>
    <t>Single Ph transfor with protection 16KVA</t>
  </si>
  <si>
    <t>TRANSFORMER 11/.4KV 25 KVA 3 STAR RATING</t>
  </si>
  <si>
    <t>TRANSFORMER 11/.4 KV 25 KVA</t>
  </si>
  <si>
    <t>TRANSFORMER 11/.4KV 63 KVA 3 STAR RATING</t>
  </si>
  <si>
    <t>TRANSFORMER 11/.4KV 100 KVA 3 STAR RATIN</t>
  </si>
  <si>
    <t>TRANSFORMER 11/.4KV 200 KVA 3 STAR RATIN</t>
  </si>
  <si>
    <t>TRANSFORMER 11/0.4 KV 200 KVA</t>
  </si>
  <si>
    <t>TRANSFORMER 11/0.4 KV 315 KVA</t>
  </si>
  <si>
    <t>TRANSFORMER 11/0.4 KV 500 KVA</t>
  </si>
  <si>
    <t>TRANSFORMER 33/.4KV 50KVA</t>
  </si>
  <si>
    <t>TRANSFORMER 33/0.4 KV 200 KVA</t>
  </si>
  <si>
    <t>TRANSFORMER 33/0.4 KV 300 KVA</t>
  </si>
  <si>
    <t>TRANSFORMER 33/11KV 1.6 MVA POWER</t>
  </si>
  <si>
    <t>TRANSFORMER 33/11KV 3.15 MVA POWER</t>
  </si>
  <si>
    <t>TRANSFORMER 33/11KV 5 MVA POWER</t>
  </si>
  <si>
    <t>INDOOR TYPE 33KV CT:PT UNIT 100/5A</t>
  </si>
  <si>
    <t>L.T. C.T.100/5 Amps.</t>
  </si>
  <si>
    <t>RATE OF STOCK MATERIALS IN 2015-16</t>
  </si>
  <si>
    <t>DELETED</t>
  </si>
  <si>
    <t>INDOOR TYPE 33KV CT:PT UNIT 50/5A</t>
  </si>
  <si>
    <t>L.T. C.T.200/5 Amps.</t>
  </si>
  <si>
    <t>L.T. C.T.300/5 Amps.</t>
  </si>
  <si>
    <t>L.T. C.T.500/5 Amps.</t>
  </si>
  <si>
    <t>220 KV CT 800-400/1-1-1-1-1AMP.</t>
  </si>
  <si>
    <t>33KV CT 400-200/5-5A</t>
  </si>
  <si>
    <t>CURRENT TRANSFORMER 600-300/1/1-1A,132KV</t>
  </si>
  <si>
    <t>132 KV CT 150-75/1</t>
  </si>
  <si>
    <t>220 KV CT 150-75/1</t>
  </si>
  <si>
    <t>220 KV CT 300-150/1</t>
  </si>
  <si>
    <t>220 KV CT 600-300/1</t>
  </si>
  <si>
    <t>33KV OIL IMMERSED 3 PHASE 300-150/5A CT-</t>
  </si>
  <si>
    <t>11 KV C.T's (OUT DOOR TYPE)200-100/5 A</t>
  </si>
  <si>
    <t xml:space="preserve">Adjustable Screw Spanner 12 inches </t>
  </si>
  <si>
    <t xml:space="preserve">Power Transformer 3150 kVA </t>
  </si>
  <si>
    <t xml:space="preserve">Power Transformer 5000 kVA </t>
  </si>
  <si>
    <t>Indoor Type 33 kV Metering Cubical CTPT Unit 100 /5A</t>
  </si>
  <si>
    <t>L.T.C.T. 100/5 Amps.</t>
  </si>
  <si>
    <t>L.T.C.T. 200/5 Amps.</t>
  </si>
  <si>
    <t>L.T.C.T. 300/5 Amps.</t>
  </si>
  <si>
    <t>L.T.C.T. 500/5 Amps.</t>
  </si>
  <si>
    <t>220 kV C.T. 800-400/1</t>
  </si>
  <si>
    <t>132 kV C.T. 600-300/1</t>
  </si>
  <si>
    <t>132 kV C.T. 150-75/1</t>
  </si>
  <si>
    <t>220 kV C.T. 150-75/1</t>
  </si>
  <si>
    <t>220 kV C.T. 300-150/1</t>
  </si>
  <si>
    <t>220 kV C.T. 600-300/1</t>
  </si>
  <si>
    <t>11 kV CTPT Unit 400-200/5 A</t>
  </si>
  <si>
    <t>33 kV CTPT Unit 300-150/5 A</t>
  </si>
  <si>
    <t>11 kV C.T. 200-100/5 Amps.</t>
  </si>
  <si>
    <t>11 kV C.T. 300-150/5 Amps.</t>
  </si>
  <si>
    <t>132 kV C.T. 100-50/1</t>
  </si>
  <si>
    <t>132 kV C.T. 200-100/1</t>
  </si>
  <si>
    <t>132 kV C.T. 300-150/1</t>
  </si>
  <si>
    <t>11 kV CTPT Unit 7.5/5 A</t>
  </si>
  <si>
    <t>11 kV CTPT Unit 10/5 A</t>
  </si>
  <si>
    <t>11 kV CTPT Unit 15/5 A</t>
  </si>
  <si>
    <t>11 kV CTPT Unit 300-150/5 A</t>
  </si>
  <si>
    <t>11 kV CTPT Unit 25/5 A</t>
  </si>
  <si>
    <t>11 kV CTPT Unit 75/5 A</t>
  </si>
  <si>
    <t>11 kV CTPT Unit 50/5 A</t>
  </si>
  <si>
    <t>33 kV CTPT Unit 20/5 A</t>
  </si>
  <si>
    <t>33 kV CTPT Unit 5/5 A</t>
  </si>
  <si>
    <t>33 kV CTPT Unit 10/5 A</t>
  </si>
  <si>
    <t>33 kV CTPT Unit 30/5 A</t>
  </si>
  <si>
    <t>33 kV CTPT Unit 50/5 A</t>
  </si>
  <si>
    <t>33 kV CTPT Unit 100 /5A</t>
  </si>
  <si>
    <t>33 kV CTPT Unit 200/5A</t>
  </si>
  <si>
    <t>33 kV CTPT Unit 400-200/5 A</t>
  </si>
  <si>
    <t>Old Bin Code-7132230472</t>
  </si>
  <si>
    <t>Old Bin Code-7132230482</t>
  </si>
  <si>
    <t>Old Bin Code-7132448851</t>
  </si>
  <si>
    <t>Indoor Type 33 kV Metering Cubical CTPT Unit 50/5 A</t>
  </si>
  <si>
    <t xml:space="preserve">Transformer Oil In Barrel </t>
  </si>
  <si>
    <t xml:space="preserve">Transformer Oil In Tanker </t>
  </si>
  <si>
    <t>11 KV Pin insulator without GI Pin</t>
  </si>
  <si>
    <t>33 KV Pin insulator without GI Pin.</t>
  </si>
  <si>
    <t>SHACKEL INSULATORS: - 65 x 50 mm.</t>
  </si>
  <si>
    <t>M S CHANNEL 100X50 MM</t>
  </si>
  <si>
    <t>M S FLAT 65X8 MM</t>
  </si>
  <si>
    <t>R.S.JOIST 125 x 70 mm</t>
  </si>
  <si>
    <t>R S JOIST 175X85 MM</t>
  </si>
  <si>
    <t>Rails 52.09 kgs per Mtr./105 lbs yard</t>
  </si>
  <si>
    <t>RAIL 60 KG PER METER</t>
  </si>
  <si>
    <t>H BEAMS 152X152MM; 37,1 KG/MTR.</t>
  </si>
  <si>
    <t>MS H BEAMS 152X152MM, 37.1 KG/MTR 11MTR</t>
  </si>
  <si>
    <t>G.I. WIRES: - Barbed wire.</t>
  </si>
  <si>
    <t>I BOLT M 20X128MM THREAD PORTION 50 MM I</t>
  </si>
  <si>
    <t>BOLT WITH NUT G I 16X40 MM</t>
  </si>
  <si>
    <t>BOLT WITH NUT GI 16X65 MM</t>
  </si>
  <si>
    <t>Using 50 Sqmm as Phase &amp; 20 Sqmm ACSR as neutral</t>
  </si>
  <si>
    <t>Using 3 Wires of 50 Sqmm ACSR &amp; 2 Wires of 20 Sqmm</t>
  </si>
  <si>
    <t>Using 30 Sqmm as Phase &amp; 20 Sqmm ACSR as neutral</t>
  </si>
  <si>
    <t>Using 3 Wires of 30 Sqmm ACSR &amp; 2 Wires of 20 Sqmm ACSR</t>
  </si>
  <si>
    <t xml:space="preserve">Using 20 Sqmm ACSR as Phase &amp; neutral </t>
  </si>
  <si>
    <t>140 Kg, 8.0 Mtr. long PCC support</t>
  </si>
  <si>
    <t xml:space="preserve">LT Five Pin Cross arm </t>
  </si>
  <si>
    <t>LT Shackle insulator (90x75 mm) including cut point/angle location</t>
  </si>
  <si>
    <t>Hardware for 90x75 mm shackle insulator</t>
  </si>
  <si>
    <t xml:space="preserve">Earth knob (Aluminium bobbin)  </t>
  </si>
  <si>
    <t>ACSR conductor including 3% sag</t>
  </si>
  <si>
    <t>(i) 50 Sqmm Al. Eq (Rabbit)</t>
  </si>
  <si>
    <t>(ii) 30 Sqmm Al. Eq (Weasel)</t>
  </si>
  <si>
    <t>(iii) 20 Sqmm Al. Eq (Squirrel)</t>
  </si>
  <si>
    <t>(ii) Stay Wire 7/10 SWG @ 6 Kg/Stay</t>
  </si>
  <si>
    <t>(iv) Stay Insulator</t>
  </si>
  <si>
    <t>Split insulator for guarding</t>
  </si>
  <si>
    <t>Concreting of stay &amp; base pad for pole @ 0.2 Cmt/stay and @ 0.05 Cmt for base pad</t>
  </si>
  <si>
    <t>Cmt 1:3:6</t>
  </si>
  <si>
    <t>Nuts and Bolts</t>
  </si>
  <si>
    <t>12x100 mm</t>
  </si>
  <si>
    <t>Earthing Set (Coil earth as per Drawing No- G/004)</t>
  </si>
  <si>
    <t>G.I. Wire 8 SWG for guarding</t>
  </si>
  <si>
    <t>Back filling of pole pit with boulders @ 0.25 Cmt.</t>
  </si>
  <si>
    <t>Labour charges as per Sch No.                   DL-1</t>
  </si>
  <si>
    <t>Total cost per Km for non-guaranteed works</t>
  </si>
  <si>
    <t>Total cost per Km for non-guaranteed works (R/Off)</t>
  </si>
  <si>
    <t>Note :-  All the rates are with considering price variation clause.</t>
  </si>
  <si>
    <t>COST  SCHEDULE  D-2</t>
  </si>
  <si>
    <t>XMER 16KVA 11/0.4 FOUR STAR ALU WOUND</t>
  </si>
  <si>
    <t>TRANSFORMER 25KVA 11/0.4KV  FOUR STAR</t>
  </si>
  <si>
    <t>1 Km  LT  LINES  3  Phase  4 Wire  USING  RABBIT / WEASEL / SQUIRREL  CONDUCTORS ON 140 Kg; 8.0  Mtr.  LONG  PCC  SUPPORTS  WITH  MAXIMUM  SPAN  OF  60  METERS</t>
  </si>
  <si>
    <t>S. NO.</t>
  </si>
  <si>
    <t>Note:-  All the rates are with considering price variation clause.</t>
  </si>
  <si>
    <t>Cost of Metering for non-guaranteed works (Rounded off).</t>
  </si>
  <si>
    <t>COST SCHEDULE -- E-2</t>
  </si>
  <si>
    <t>METER MODERNISATION : REPLACING THE EXISTING METERS WITH ELECTRONIC METERS WHICH ARE HIGHLY CAPABLE OF IMPROVING BILLING EFFICIENCY ALONGWITH SHIFTING OF METER OUTSIDE THE PREMISES.</t>
  </si>
  <si>
    <t>SINGLE PHASE CONNECTION</t>
  </si>
  <si>
    <t>Armoured service cable</t>
  </si>
  <si>
    <t>Unarmoured service cable</t>
  </si>
  <si>
    <t>LT Single Phase Static Meter 5-30 Amps. Pilfer Proof with transparent polycarbonate meter box</t>
  </si>
  <si>
    <t>Armoured Service Cable - Single Phase, 2 core- 6 sq mm</t>
  </si>
  <si>
    <t>Unarmoured Service Cable - Single Phase, 2 core- 6 sq mm</t>
  </si>
  <si>
    <t>LT Shackle Insulator 65x50 mm</t>
  </si>
  <si>
    <t>H/W for 65x50 mm Shackle Insulator</t>
  </si>
  <si>
    <t>T.W. Meter Board, 300x300x75 mm, coated with varnish/SMC board</t>
  </si>
  <si>
    <t>PVC Insulation Tape</t>
  </si>
  <si>
    <t>Roll</t>
  </si>
  <si>
    <t>Misc Items , e.g., Screw, cut outs</t>
  </si>
  <si>
    <t>Lot</t>
  </si>
  <si>
    <t>M-Seal</t>
  </si>
  <si>
    <t>0.09</t>
  </si>
  <si>
    <t>Per Installation</t>
  </si>
  <si>
    <t>Cost for meter replacement of a Single Phase Consumer</t>
  </si>
  <si>
    <t>Cost for meter replacement of a Single Phase Consumer (Round off)</t>
  </si>
  <si>
    <t>COST SCHEDULE -- E-3</t>
  </si>
  <si>
    <t>THREE PHASE CONNECTION</t>
  </si>
  <si>
    <t>LT 3 phase electronic energy meter 10-60 Amps. with poly carbonate meter box</t>
  </si>
  <si>
    <t>Armoured Service Cable - Three Phase, 4 core-10 sq mm</t>
  </si>
  <si>
    <t>Unarmoured Service Cable - Three Phase, 4 core-10 sq mm</t>
  </si>
  <si>
    <t>T.W. plate 300x300x25 mm with 20 mm dia holes at the corners and coated with two coats of varnish on one side/SMC board</t>
  </si>
  <si>
    <t>Tension hardware suitable for Panther Conductor.</t>
  </si>
  <si>
    <t>For 90 x 75 mm insulators</t>
  </si>
  <si>
    <t>LT 3 phase 4 Wire Aerial Bunched Cable of Size 3X16+1x25</t>
  </si>
  <si>
    <t>70 Sq.mm, 3.5 Core</t>
  </si>
  <si>
    <t>150 Sq.mm, 3.5 Core</t>
  </si>
  <si>
    <t>300 Sq.mm, 3.5 Core</t>
  </si>
  <si>
    <t>400 Sq.mm, 3.5 Core</t>
  </si>
  <si>
    <t>3x400 Sq.mm.</t>
  </si>
  <si>
    <t>95 Sq.mm</t>
  </si>
  <si>
    <t>120 Sq.mm</t>
  </si>
  <si>
    <t>240 Sq.mm</t>
  </si>
  <si>
    <t>3x70 Sq.mm</t>
  </si>
  <si>
    <t>3x95 Sq.mm</t>
  </si>
  <si>
    <t>3x150 Sq.mm</t>
  </si>
  <si>
    <t>3x240 Sq. mm</t>
  </si>
  <si>
    <t>3x400 Sq. mm</t>
  </si>
  <si>
    <t>Battery charger</t>
  </si>
  <si>
    <t>Battery (Low Maintenance SAN controller)</t>
  </si>
  <si>
    <t>CFL 7 Watts</t>
  </si>
  <si>
    <t>CFL 11 Watts</t>
  </si>
  <si>
    <t>CFL 15 Watts</t>
  </si>
  <si>
    <t>CFL 20 Watts</t>
  </si>
  <si>
    <t>CFL 23 Watts</t>
  </si>
  <si>
    <t xml:space="preserve">125 Watt Mercury Vapour </t>
  </si>
  <si>
    <t xml:space="preserve">250 Watt Mercury Vapour </t>
  </si>
  <si>
    <r>
      <t xml:space="preserve">          </t>
    </r>
    <r>
      <rPr>
        <b/>
        <u val="single"/>
        <sz val="14"/>
        <rFont val="Arial"/>
        <family val="2"/>
      </rPr>
      <t>COST SCHEDULE -- D-6 (3)</t>
    </r>
  </si>
  <si>
    <t>LT 3 phase 4 Wire Aerial Bunched Cable of Size 3x16 + 1x25 sqmm. (6% sag)</t>
  </si>
  <si>
    <r>
      <t xml:space="preserve">       </t>
    </r>
    <r>
      <rPr>
        <b/>
        <u val="single"/>
        <sz val="14"/>
        <rFont val="Arial"/>
        <family val="2"/>
      </rPr>
      <t>COST SCHEDULE -- D-6 (4)</t>
    </r>
  </si>
  <si>
    <r>
      <t xml:space="preserve">         </t>
    </r>
    <r>
      <rPr>
        <b/>
        <u val="single"/>
        <sz val="16"/>
        <rFont val="Arial"/>
        <family val="2"/>
      </rPr>
      <t>COST SCHEDULE --  D - 6 (A)</t>
    </r>
  </si>
  <si>
    <t>140 Kg 8.0 meter long PCC Pole (for where ever required )</t>
  </si>
  <si>
    <t>1 Transformer+1 Feeder (Static Relays)</t>
  </si>
  <si>
    <t>Grounding Sticks (Earthing Rods)</t>
  </si>
  <si>
    <t>Panel lndication lamps</t>
  </si>
  <si>
    <t>Ring Spanners  (6x7,8x9, 10x11,12x13,14x15,16x17,18x19, 20x22x,21x23,24x27,25x28,30x32)</t>
  </si>
  <si>
    <t xml:space="preserve">Tube Spanners </t>
  </si>
  <si>
    <t>Pipe Wrench 24 inches size</t>
  </si>
  <si>
    <t>Pipe Wrench 18 inches size</t>
  </si>
  <si>
    <t>Double end spanner (6x7,8x9, 10x11,12x13,14x15,16x17,18x19, 20x22x,21x23,24x27,25x28,30x32)</t>
  </si>
  <si>
    <t>Hack saw frames + B185</t>
  </si>
  <si>
    <t>Hand Torch 5 cell</t>
  </si>
  <si>
    <t>Hand Torch 3 cell</t>
  </si>
  <si>
    <t>Discharge Rod</t>
  </si>
  <si>
    <t>Neon tester</t>
  </si>
  <si>
    <t>Screw driver Set</t>
  </si>
  <si>
    <t>Screw driver 250 mm</t>
  </si>
  <si>
    <t>Screw driver 200 mm</t>
  </si>
  <si>
    <t>Screw driver 150 mm</t>
  </si>
  <si>
    <t>Hammer 8 Lbs (3629 gm)</t>
  </si>
  <si>
    <t>Hammer 2 Lbs (907 gm.)</t>
  </si>
  <si>
    <t>Allen keys set of 9 Pcs.(1.5mm; 2mm; 2.5mm;3mm; 4mm; 5mm; 6mm; 8mm; 10mm) Black finish, box packing</t>
  </si>
  <si>
    <t>Box spanners (of size 32Af, 27A/F, 30 A/F&amp; tommy Bar)</t>
  </si>
  <si>
    <t>Transil oil Dielectric Breakdown testkit</t>
  </si>
  <si>
    <t>Tong tester</t>
  </si>
  <si>
    <t>D.C.Volt meter range - 3V to + 5V</t>
  </si>
  <si>
    <t>Specific gravity correction chart</t>
  </si>
  <si>
    <t>Wall mounting type holder for Hydrometer</t>
  </si>
  <si>
    <t>Earth resistance tester (20/200/2000 Ω)</t>
  </si>
  <si>
    <t>Rain Coats with Hoods</t>
  </si>
  <si>
    <t>Gum Boots</t>
  </si>
  <si>
    <t>Misc Items , e.g., Screw, cut-outs</t>
  </si>
  <si>
    <t>Cost for meter replacement of a Three Phase Consumer</t>
  </si>
  <si>
    <t>280 Kg; 9.1 Mtr long</t>
  </si>
  <si>
    <t>350 Kg; 7.0 Mtr long</t>
  </si>
  <si>
    <t>100x50 mm</t>
  </si>
  <si>
    <t>75x40 mm</t>
  </si>
  <si>
    <t>65x8 mm</t>
  </si>
  <si>
    <t>50x6 mm</t>
  </si>
  <si>
    <t>65 x 65 x 6 mm</t>
  </si>
  <si>
    <t>50 x 50 x 6 mm</t>
  </si>
  <si>
    <t xml:space="preserve">Anchor clamp assembly (consisting of GI Pole Clamp, GI Flat type I-hook &amp; Nylon Cable tie). </t>
  </si>
  <si>
    <t>2.5 Sqmm.</t>
  </si>
  <si>
    <t>Per Mtr.</t>
  </si>
  <si>
    <t>6.0 Sqmm.</t>
  </si>
  <si>
    <t>10 Sq.mm.</t>
  </si>
  <si>
    <t>25 Sq.mm.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</si>
</sst>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&quot;\`&quot;&quot;#,##0_);\(&quot;&quot;\`&quot;&quot;#,##0\)"/>
    <numFmt numFmtId="173" formatCode="&quot;&quot;\`&quot;&quot;#,##0_);[Red]\(&quot;&quot;\`&quot;&quot;#,##0\)"/>
    <numFmt numFmtId="174" formatCode="&quot;&quot;\`&quot;&quot;#,##0.00_);\(&quot;&quot;\`&quot;&quot;#,##0.00\)"/>
    <numFmt numFmtId="175" formatCode="&quot;&quot;\`&quot;&quot;#,##0.00_);[Red]\(&quot;&quot;\`&quot;&quot;#,##0.00\)"/>
    <numFmt numFmtId="176" formatCode="_(&quot;&quot;\`&quot;&quot;* #,##0_);_(&quot;&quot;\`&quot;&quot;* \(#,##0\);_(&quot;&quot;\`&quot;&quot;* &quot;-&quot;_);_(@_)"/>
    <numFmt numFmtId="177" formatCode="_(&quot;&quot;\`&quot;&quot;* #,##0.00_);_(&quot;&quot;\`&quot;&quot;* \(#,##0.00\);_(&quot;&quot;\`&quot;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"/>
    <numFmt numFmtId="185" formatCode="0.000000"/>
    <numFmt numFmtId="186" formatCode="0.0000000"/>
    <numFmt numFmtId="187" formatCode="0.00000"/>
    <numFmt numFmtId="188" formatCode="0.0000"/>
    <numFmt numFmtId="189" formatCode="0.0%"/>
    <numFmt numFmtId="190" formatCode="0.0"/>
    <numFmt numFmtId="191" formatCode="#,##0.0"/>
    <numFmt numFmtId="192" formatCode="00000"/>
    <numFmt numFmtId="193" formatCode="0.00;[Red]0.00"/>
    <numFmt numFmtId="194" formatCode="0.000000000"/>
  </numFmts>
  <fonts count="8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Calibri"/>
      <family val="2"/>
    </font>
    <font>
      <sz val="12"/>
      <name val="Rupee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Verdana"/>
      <family val="2"/>
    </font>
    <font>
      <sz val="10.5"/>
      <name val="Arial"/>
      <family val="0"/>
    </font>
    <font>
      <b/>
      <u val="single"/>
      <sz val="16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2"/>
      <name val="Arial Narrow"/>
      <family val="2"/>
    </font>
    <font>
      <sz val="11"/>
      <name val="Times New Roman"/>
      <family val="1"/>
    </font>
    <font>
      <sz val="11.5"/>
      <name val="Copperplate Gothic Bold"/>
      <family val="2"/>
    </font>
    <font>
      <b/>
      <sz val="20"/>
      <name val="Arial"/>
      <family val="2"/>
    </font>
    <font>
      <sz val="11.5"/>
      <name val="Arial Narrow"/>
      <family val="2"/>
    </font>
    <font>
      <sz val="9"/>
      <name val="Verdan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28"/>
      <name val="Arial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  <font>
      <b/>
      <u val="single"/>
      <sz val="13"/>
      <name val="Arial"/>
      <family val="2"/>
    </font>
    <font>
      <b/>
      <u val="single"/>
      <sz val="11.5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2" fontId="13" fillId="0" borderId="14" xfId="59" applyNumberFormat="1" applyFont="1" applyFill="1" applyBorder="1" applyAlignment="1" applyProtection="1">
      <alignment vertical="center"/>
      <protection/>
    </xf>
    <xf numFmtId="2" fontId="13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quotePrefix="1">
      <alignment horizontal="center" vertical="top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5" fillId="0" borderId="0" xfId="68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49" fontId="1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9" fontId="19" fillId="0" borderId="10" xfId="60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 quotePrefix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5" fillId="0" borderId="10" xfId="0" applyFont="1" applyFill="1" applyBorder="1" applyAlignment="1" quotePrefix="1">
      <alignment horizontal="center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top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2" fontId="0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25" fillId="0" borderId="10" xfId="0" applyFont="1" applyFill="1" applyBorder="1" applyAlignment="1" quotePrefix="1">
      <alignment horizontal="center" vertical="top" wrapText="1"/>
    </xf>
    <xf numFmtId="0" fontId="25" fillId="0" borderId="10" xfId="0" applyNumberFormat="1" applyFont="1" applyFill="1" applyBorder="1" applyAlignment="1" quotePrefix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0" fontId="18" fillId="0" borderId="13" xfId="0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0" fontId="18" fillId="0" borderId="2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2" fontId="18" fillId="0" borderId="0" xfId="0" applyNumberFormat="1" applyFont="1" applyFill="1" applyBorder="1" applyAlignment="1">
      <alignment horizontal="right" vertical="top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vertical="top" wrapText="1"/>
    </xf>
    <xf numFmtId="2" fontId="18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16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9" fillId="0" borderId="0" xfId="59" applyFont="1" applyFill="1" applyAlignment="1" applyProtection="1">
      <alignment/>
      <protection/>
    </xf>
    <xf numFmtId="0" fontId="16" fillId="0" borderId="0" xfId="0" applyFont="1" applyFill="1" applyBorder="1" applyAlignment="1">
      <alignment vertical="top" wrapText="1"/>
    </xf>
    <xf numFmtId="0" fontId="37" fillId="0" borderId="0" xfId="59" applyFont="1" applyFill="1" applyAlignment="1" applyProtection="1">
      <alignment/>
      <protection/>
    </xf>
    <xf numFmtId="0" fontId="5" fillId="0" borderId="0" xfId="59" applyFont="1" applyFill="1" applyAlignment="1" applyProtection="1">
      <alignment vertical="center" wrapText="1"/>
      <protection/>
    </xf>
    <xf numFmtId="0" fontId="38" fillId="0" borderId="0" xfId="59" applyFont="1" applyFill="1">
      <alignment/>
      <protection/>
    </xf>
    <xf numFmtId="0" fontId="38" fillId="0" borderId="0" xfId="59" applyFont="1" applyFill="1" applyAlignment="1">
      <alignment wrapText="1"/>
      <protection/>
    </xf>
    <xf numFmtId="0" fontId="37" fillId="0" borderId="0" xfId="59" applyFont="1" applyFill="1">
      <alignment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center" vertical="center"/>
      <protection/>
    </xf>
    <xf numFmtId="0" fontId="13" fillId="0" borderId="0" xfId="59" applyFont="1" applyFill="1" applyBorder="1" applyAlignment="1" applyProtection="1">
      <alignment horizontal="center" vertical="center"/>
      <protection/>
    </xf>
    <xf numFmtId="0" fontId="13" fillId="0" borderId="10" xfId="59" applyFont="1" applyFill="1" applyBorder="1" applyAlignment="1" applyProtection="1">
      <alignment horizontal="left" vertical="center" wrapText="1"/>
      <protection/>
    </xf>
    <xf numFmtId="2" fontId="18" fillId="0" borderId="12" xfId="59" applyNumberFormat="1" applyFont="1" applyFill="1" applyBorder="1" applyAlignment="1" applyProtection="1">
      <alignment horizontal="center" vertical="center"/>
      <protection/>
    </xf>
    <xf numFmtId="1" fontId="18" fillId="0" borderId="10" xfId="59" applyNumberFormat="1" applyFont="1" applyFill="1" applyBorder="1" applyAlignment="1" applyProtection="1">
      <alignment horizontal="center" vertical="center"/>
      <protection/>
    </xf>
    <xf numFmtId="2" fontId="18" fillId="0" borderId="10" xfId="59" applyNumberFormat="1" applyFont="1" applyFill="1" applyBorder="1" applyAlignment="1" applyProtection="1">
      <alignment horizontal="center" vertical="center"/>
      <protection/>
    </xf>
    <xf numFmtId="0" fontId="13" fillId="0" borderId="10" xfId="65" applyFont="1" applyFill="1" applyBorder="1" applyAlignment="1" applyProtection="1">
      <alignment horizontal="center" vertical="center" wrapText="1"/>
      <protection/>
    </xf>
    <xf numFmtId="2" fontId="13" fillId="0" borderId="0" xfId="59" applyNumberFormat="1" applyFont="1" applyFill="1" applyBorder="1" applyAlignment="1" applyProtection="1">
      <alignment horizontal="center" vertical="center"/>
      <protection/>
    </xf>
    <xf numFmtId="1" fontId="18" fillId="0" borderId="10" xfId="59" applyNumberFormat="1" applyFont="1" applyFill="1" applyBorder="1" applyAlignment="1" applyProtection="1">
      <alignment horizontal="center" vertical="center" wrapText="1"/>
      <protection/>
    </xf>
    <xf numFmtId="2" fontId="13" fillId="0" borderId="0" xfId="59" applyNumberFormat="1" applyFont="1" applyFill="1" applyBorder="1" applyAlignment="1" applyProtection="1">
      <alignment horizontal="center" vertical="center" wrapText="1"/>
      <protection/>
    </xf>
    <xf numFmtId="1" fontId="18" fillId="0" borderId="10" xfId="59" applyNumberFormat="1" applyFont="1" applyFill="1" applyBorder="1" applyAlignment="1">
      <alignment horizontal="center" vertical="center" wrapText="1"/>
      <protection/>
    </xf>
    <xf numFmtId="2" fontId="13" fillId="0" borderId="0" xfId="59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2" fontId="18" fillId="0" borderId="12" xfId="59" applyNumberFormat="1" applyFont="1" applyFill="1" applyBorder="1" applyAlignment="1" applyProtection="1">
      <alignment vertical="center"/>
      <protection/>
    </xf>
    <xf numFmtId="1" fontId="18" fillId="0" borderId="10" xfId="59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18" fillId="0" borderId="17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left" vertical="center" wrapText="1"/>
      <protection/>
    </xf>
    <xf numFmtId="2" fontId="13" fillId="0" borderId="12" xfId="59" applyNumberFormat="1" applyFont="1" applyFill="1" applyBorder="1" applyAlignment="1" applyProtection="1">
      <alignment horizontal="center" vertical="center"/>
      <protection/>
    </xf>
    <xf numFmtId="2" fontId="13" fillId="0" borderId="10" xfId="59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vertical="center" wrapText="1"/>
    </xf>
    <xf numFmtId="0" fontId="18" fillId="0" borderId="10" xfId="59" applyFont="1" applyFill="1" applyBorder="1" applyAlignment="1" applyProtection="1">
      <alignment horizontal="center" vertical="center"/>
      <protection/>
    </xf>
    <xf numFmtId="0" fontId="18" fillId="0" borderId="10" xfId="59" applyFont="1" applyFill="1" applyBorder="1" applyAlignment="1" applyProtection="1">
      <alignment horizontal="left" vertical="center" wrapText="1"/>
      <protection/>
    </xf>
    <xf numFmtId="10" fontId="18" fillId="0" borderId="10" xfId="59" applyNumberFormat="1" applyFont="1" applyFill="1" applyBorder="1" applyAlignment="1">
      <alignment horizontal="center" vertical="center"/>
      <protection/>
    </xf>
    <xf numFmtId="2" fontId="18" fillId="0" borderId="12" xfId="59" applyNumberFormat="1" applyFont="1" applyFill="1" applyBorder="1" applyAlignment="1">
      <alignment horizontal="center" vertical="center"/>
      <protection/>
    </xf>
    <xf numFmtId="1" fontId="18" fillId="0" borderId="10" xfId="59" applyNumberFormat="1" applyFont="1" applyFill="1" applyBorder="1" applyAlignment="1">
      <alignment horizontal="center" vertical="center"/>
      <protection/>
    </xf>
    <xf numFmtId="2" fontId="13" fillId="0" borderId="0" xfId="59" applyNumberFormat="1" applyFont="1" applyFill="1" applyBorder="1" applyAlignment="1">
      <alignment horizontal="center" vertical="center"/>
      <protection/>
    </xf>
    <xf numFmtId="190" fontId="18" fillId="0" borderId="10" xfId="0" applyNumberFormat="1" applyFont="1" applyFill="1" applyBorder="1" applyAlignment="1">
      <alignment horizontal="center" vertical="center" wrapText="1"/>
    </xf>
    <xf numFmtId="0" fontId="18" fillId="0" borderId="12" xfId="59" applyFont="1" applyFill="1" applyBorder="1" applyAlignment="1" applyProtection="1">
      <alignment horizontal="center" vertical="center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13" fillId="0" borderId="10" xfId="59" applyFont="1" applyFill="1" applyBorder="1" applyAlignment="1">
      <alignment horizontal="center" vertical="center"/>
      <protection/>
    </xf>
    <xf numFmtId="0" fontId="13" fillId="0" borderId="12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>
      <alignment/>
      <protection/>
    </xf>
    <xf numFmtId="0" fontId="13" fillId="0" borderId="0" xfId="59" applyFont="1" applyFill="1" applyAlignment="1">
      <alignment wrapText="1"/>
      <protection/>
    </xf>
    <xf numFmtId="0" fontId="0" fillId="0" borderId="0" xfId="71" applyFont="1" applyFill="1">
      <alignment/>
      <protection/>
    </xf>
    <xf numFmtId="0" fontId="12" fillId="0" borderId="0" xfId="71" applyFont="1" applyFill="1" applyBorder="1" applyAlignment="1">
      <alignment horizontal="center" wrapText="1"/>
      <protection/>
    </xf>
    <xf numFmtId="0" fontId="12" fillId="0" borderId="0" xfId="71" applyFont="1" applyFill="1" applyBorder="1" applyAlignment="1">
      <alignment wrapText="1"/>
      <protection/>
    </xf>
    <xf numFmtId="0" fontId="9" fillId="0" borderId="0" xfId="71" applyFont="1" applyFill="1" applyBorder="1" applyAlignment="1">
      <alignment vertical="top" wrapText="1"/>
      <protection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vertical="center" wrapText="1"/>
      <protection/>
    </xf>
    <xf numFmtId="0" fontId="5" fillId="0" borderId="0" xfId="71" applyFont="1" applyFill="1" applyBorder="1" applyAlignment="1">
      <alignment vertical="top" wrapText="1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0" fontId="13" fillId="0" borderId="10" xfId="71" applyFont="1" applyFill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 wrapText="1"/>
      <protection/>
    </xf>
    <xf numFmtId="0" fontId="13" fillId="0" borderId="10" xfId="71" applyFont="1" applyFill="1" applyBorder="1" applyAlignment="1">
      <alignment horizontal="center" vertical="top" wrapText="1"/>
      <protection/>
    </xf>
    <xf numFmtId="2" fontId="13" fillId="0" borderId="10" xfId="71" applyNumberFormat="1" applyFont="1" applyFill="1" applyBorder="1" applyAlignment="1">
      <alignment horizontal="center" vertical="center" wrapText="1"/>
      <protection/>
    </xf>
    <xf numFmtId="0" fontId="13" fillId="0" borderId="10" xfId="71" applyFont="1" applyFill="1" applyBorder="1" applyAlignment="1" quotePrefix="1">
      <alignment horizontal="center" vertical="center" wrapText="1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13" fillId="0" borderId="10" xfId="71" applyFont="1" applyFill="1" applyBorder="1" applyAlignment="1">
      <alignment vertical="center" wrapText="1"/>
      <protection/>
    </xf>
    <xf numFmtId="0" fontId="13" fillId="0" borderId="10" xfId="71" applyFont="1" applyFill="1" applyBorder="1" applyAlignment="1">
      <alignment vertical="top" wrapText="1"/>
      <protection/>
    </xf>
    <xf numFmtId="0" fontId="13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 quotePrefix="1">
      <alignment horizontal="center" vertical="center" wrapText="1"/>
      <protection/>
    </xf>
    <xf numFmtId="49" fontId="13" fillId="0" borderId="10" xfId="71" applyNumberFormat="1" applyFont="1" applyFill="1" applyBorder="1" applyAlignment="1">
      <alignment horizontal="left" vertical="top" wrapText="1"/>
      <protection/>
    </xf>
    <xf numFmtId="0" fontId="13" fillId="0" borderId="13" xfId="71" applyFont="1" applyFill="1" applyBorder="1" applyAlignment="1">
      <alignment horizontal="center" vertical="top" wrapText="1"/>
      <protection/>
    </xf>
    <xf numFmtId="2" fontId="2" fillId="0" borderId="10" xfId="71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Alignment="1">
      <alignment vertical="center" wrapText="1"/>
    </xf>
    <xf numFmtId="0" fontId="13" fillId="0" borderId="12" xfId="71" applyNumberFormat="1" applyFont="1" applyFill="1" applyBorder="1" applyAlignment="1">
      <alignment vertical="center" wrapText="1"/>
      <protection/>
    </xf>
    <xf numFmtId="0" fontId="13" fillId="0" borderId="16" xfId="71" applyNumberFormat="1" applyFont="1" applyFill="1" applyBorder="1" applyAlignment="1">
      <alignment vertical="center" wrapText="1"/>
      <protection/>
    </xf>
    <xf numFmtId="10" fontId="13" fillId="0" borderId="13" xfId="71" applyNumberFormat="1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left" vertical="top"/>
      <protection/>
    </xf>
    <xf numFmtId="2" fontId="14" fillId="0" borderId="0" xfId="57" applyNumberFormat="1" applyFont="1" applyFill="1" applyBorder="1" applyAlignment="1">
      <alignment vertical="center"/>
      <protection/>
    </xf>
    <xf numFmtId="2" fontId="14" fillId="0" borderId="0" xfId="57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/>
      <protection/>
    </xf>
    <xf numFmtId="0" fontId="39" fillId="0" borderId="0" xfId="68" applyFont="1" applyFill="1" applyBorder="1" applyAlignment="1">
      <alignment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vertical="center" wrapText="1"/>
      <protection/>
    </xf>
    <xf numFmtId="2" fontId="19" fillId="0" borderId="10" xfId="58" applyNumberFormat="1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vertical="top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1" fontId="19" fillId="0" borderId="10" xfId="58" applyNumberFormat="1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center" vertical="top"/>
      <protection/>
    </xf>
    <xf numFmtId="0" fontId="13" fillId="0" borderId="10" xfId="58" applyFont="1" applyFill="1" applyBorder="1" applyAlignment="1">
      <alignment horizontal="center" vertical="center"/>
      <protection/>
    </xf>
    <xf numFmtId="1" fontId="13" fillId="0" borderId="10" xfId="58" applyNumberFormat="1" applyFont="1" applyFill="1" applyBorder="1" applyAlignment="1">
      <alignment horizontal="center" vertical="center"/>
      <protection/>
    </xf>
    <xf numFmtId="2" fontId="13" fillId="0" borderId="10" xfId="58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top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5" fillId="0" borderId="0" xfId="67" applyFont="1" applyFill="1" applyBorder="1" applyAlignment="1">
      <alignment horizontal="center" wrapText="1"/>
      <protection/>
    </xf>
    <xf numFmtId="0" fontId="2" fillId="0" borderId="0" xfId="6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vertical="center" wrapText="1"/>
      <protection/>
    </xf>
    <xf numFmtId="2" fontId="19" fillId="0" borderId="10" xfId="57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Alignment="1">
      <alignment vertical="center" wrapText="1"/>
      <protection/>
    </xf>
    <xf numFmtId="0" fontId="5" fillId="0" borderId="1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13" fillId="0" borderId="17" xfId="64" applyFont="1" applyFill="1" applyBorder="1" applyAlignment="1">
      <alignment horizontal="left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64" applyFont="1" applyFill="1" applyBorder="1" applyAlignment="1">
      <alignment horizontal="left" vertical="center" wrapText="1"/>
      <protection/>
    </xf>
    <xf numFmtId="0" fontId="13" fillId="0" borderId="10" xfId="64" applyNumberFormat="1" applyFont="1" applyFill="1" applyBorder="1" applyAlignment="1">
      <alignment horizontal="center" vertical="center" wrapText="1"/>
      <protection/>
    </xf>
    <xf numFmtId="0" fontId="41" fillId="0" borderId="0" xfId="67" applyFont="1" applyFill="1" applyBorder="1" applyAlignment="1">
      <alignment horizontal="center"/>
      <protection/>
    </xf>
    <xf numFmtId="0" fontId="13" fillId="0" borderId="0" xfId="0" applyFont="1" applyFill="1" applyAlignment="1">
      <alignment vertical="center"/>
    </xf>
    <xf numFmtId="0" fontId="9" fillId="0" borderId="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center" vertical="top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11" xfId="67" applyFont="1" applyFill="1" applyBorder="1" applyAlignment="1">
      <alignment horizontal="center" vertical="top"/>
      <protection/>
    </xf>
    <xf numFmtId="49" fontId="6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10" xfId="67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193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top"/>
    </xf>
    <xf numFmtId="0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193" fontId="26" fillId="0" borderId="10" xfId="0" applyNumberFormat="1" applyFont="1" applyFill="1" applyBorder="1" applyAlignment="1">
      <alignment horizontal="center" vertical="top"/>
    </xf>
    <xf numFmtId="1" fontId="42" fillId="0" borderId="10" xfId="0" applyNumberFormat="1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vertical="top"/>
    </xf>
    <xf numFmtId="0" fontId="26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top"/>
    </xf>
    <xf numFmtId="0" fontId="26" fillId="0" borderId="10" xfId="0" applyNumberFormat="1" applyFont="1" applyFill="1" applyBorder="1" applyAlignment="1">
      <alignment horizontal="left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center" wrapText="1"/>
    </xf>
    <xf numFmtId="0" fontId="20" fillId="0" borderId="0" xfId="68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 quotePrefix="1">
      <alignment horizontal="center" vertical="center" wrapText="1"/>
    </xf>
    <xf numFmtId="0" fontId="23" fillId="0" borderId="0" xfId="71" applyFont="1" applyFill="1" applyBorder="1" applyAlignment="1">
      <alignment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25" fillId="0" borderId="10" xfId="59" applyNumberFormat="1" applyFont="1" applyFill="1" applyBorder="1" applyAlignment="1" applyProtection="1">
      <alignment horizontal="center" vertical="center"/>
      <protection/>
    </xf>
    <xf numFmtId="2" fontId="18" fillId="0" borderId="10" xfId="59" applyNumberFormat="1" applyFont="1" applyFill="1" applyBorder="1" applyAlignment="1">
      <alignment horizontal="center" vertical="center"/>
      <protection/>
    </xf>
    <xf numFmtId="2" fontId="25" fillId="0" borderId="10" xfId="59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top"/>
    </xf>
    <xf numFmtId="2" fontId="13" fillId="0" borderId="14" xfId="59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49" fontId="0" fillId="0" borderId="14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 horizontal="center" vertical="top"/>
    </xf>
    <xf numFmtId="0" fontId="50" fillId="32" borderId="0" xfId="0" applyFont="1" applyFill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2" fontId="4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59" applyFont="1" applyFill="1" applyBorder="1" applyAlignment="1" applyProtection="1">
      <alignment horizontal="center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center" vertical="center"/>
      <protection/>
    </xf>
    <xf numFmtId="0" fontId="13" fillId="0" borderId="15" xfId="59" applyFont="1" applyFill="1" applyBorder="1" applyAlignment="1" applyProtection="1">
      <alignment horizontal="center" vertical="center"/>
      <protection/>
    </xf>
    <xf numFmtId="0" fontId="13" fillId="0" borderId="13" xfId="59" applyFont="1" applyFill="1" applyBorder="1" applyAlignment="1" applyProtection="1">
      <alignment horizontal="center" vertical="center"/>
      <protection/>
    </xf>
    <xf numFmtId="0" fontId="17" fillId="0" borderId="0" xfId="59" applyFont="1" applyFill="1" applyAlignment="1" applyProtection="1">
      <alignment horizontal="center" vertical="center" wrapText="1"/>
      <protection/>
    </xf>
    <xf numFmtId="0" fontId="17" fillId="0" borderId="0" xfId="71" applyFont="1" applyFill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71" applyFont="1" applyFill="1" applyBorder="1" applyAlignment="1">
      <alignment horizont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justify" vertical="center" wrapText="1"/>
      <protection/>
    </xf>
    <xf numFmtId="0" fontId="13" fillId="0" borderId="11" xfId="71" applyFont="1" applyFill="1" applyBorder="1" applyAlignment="1">
      <alignment horizontal="center" vertical="top" wrapText="1"/>
      <protection/>
    </xf>
    <xf numFmtId="0" fontId="13" fillId="0" borderId="15" xfId="71" applyFont="1" applyFill="1" applyBorder="1" applyAlignment="1">
      <alignment horizontal="center" vertical="top" wrapText="1"/>
      <protection/>
    </xf>
    <xf numFmtId="0" fontId="13" fillId="0" borderId="13" xfId="71" applyFont="1" applyFill="1" applyBorder="1" applyAlignment="1">
      <alignment horizontal="center" vertical="top" wrapText="1"/>
      <protection/>
    </xf>
    <xf numFmtId="0" fontId="23" fillId="0" borderId="0" xfId="71" applyFont="1" applyFill="1" applyBorder="1" applyAlignment="1">
      <alignment horizontal="center" wrapText="1"/>
      <protection/>
    </xf>
    <xf numFmtId="0" fontId="17" fillId="0" borderId="0" xfId="68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center" vertical="top"/>
      <protection/>
    </xf>
    <xf numFmtId="0" fontId="19" fillId="0" borderId="13" xfId="58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67" applyFont="1" applyFill="1" applyBorder="1" applyAlignment="1">
      <alignment horizontal="center" wrapText="1"/>
      <protection/>
    </xf>
    <xf numFmtId="0" fontId="20" fillId="0" borderId="0" xfId="67" applyFont="1" applyFill="1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16" fillId="0" borderId="0" xfId="67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16" fillId="0" borderId="0" xfId="67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4" xfId="58"/>
    <cellStyle name="Normal 2" xfId="59"/>
    <cellStyle name="Normal 2 2" xfId="60"/>
    <cellStyle name="Normal 2 2 2 3" xfId="61"/>
    <cellStyle name="Normal 2 2 3" xfId="62"/>
    <cellStyle name="Normal 2 2 3 3" xfId="63"/>
    <cellStyle name="Normal 21" xfId="64"/>
    <cellStyle name="Normal 3" xfId="65"/>
    <cellStyle name="Normal 3 2" xfId="66"/>
    <cellStyle name="Normal 3 4" xfId="67"/>
    <cellStyle name="Normal 3 4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3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-D%2014-15%20LT%20page%20123-15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H-E%20%2014-15%20LT%20page%20157-1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 page 123-124"/>
      <sheetName val="D2 page 125-126"/>
      <sheetName val="D3 page 127-128"/>
      <sheetName val="D4 page 129-130"/>
      <sheetName val="D5 page 131-132"/>
      <sheetName val="D-6 (1) page 133-135"/>
      <sheetName val="D-6 (2) page 136-137"/>
      <sheetName val="D-6 (3) page 138-139"/>
      <sheetName val="D-6 (4) page 140-141"/>
      <sheetName val="D-6 (A) page 142"/>
      <sheetName val="D-6 (B) page 143"/>
      <sheetName val="D7 page 144-145"/>
      <sheetName val="D8 page 146-147"/>
      <sheetName val="D9 page 148-149"/>
      <sheetName val="D10 (new E-1) page 150"/>
      <sheetName val="D-11 page 151"/>
      <sheetName val="D-12 page 152"/>
      <sheetName val="D-13 page 153"/>
      <sheetName val="D-14 page 154"/>
      <sheetName val="D-15 page 138-139"/>
    </sheetNames>
    <sheetDataSet>
      <sheetData sheetId="11">
        <row r="24">
          <cell r="E24">
            <v>16000</v>
          </cell>
        </row>
        <row r="25">
          <cell r="E25">
            <v>13000</v>
          </cell>
        </row>
      </sheetData>
      <sheetData sheetId="12">
        <row r="24">
          <cell r="E24">
            <v>16000</v>
          </cell>
        </row>
        <row r="25">
          <cell r="E25">
            <v>13000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 page 157"/>
      <sheetName val="E-2 page 158"/>
      <sheetName val="E-3 page159"/>
      <sheetName val="E-4 page 160"/>
      <sheetName val="E-5 page 161"/>
      <sheetName val="E-6 page 162"/>
    </sheetNames>
    <sheetDataSet>
      <sheetData sheetId="1">
        <row r="18">
          <cell r="F18">
            <v>35</v>
          </cell>
        </row>
        <row r="19">
          <cell r="F19">
            <v>30</v>
          </cell>
        </row>
      </sheetData>
      <sheetData sheetId="4">
        <row r="16">
          <cell r="F16">
            <v>35</v>
          </cell>
        </row>
        <row r="17">
          <cell r="F1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421875" style="2" customWidth="1"/>
    <col min="2" max="2" width="37.28125" style="2" customWidth="1"/>
    <col min="3" max="3" width="9.28125" style="2" bestFit="1" customWidth="1"/>
    <col min="4" max="4" width="15.8515625" style="2" customWidth="1"/>
    <col min="5" max="5" width="48.421875" style="2" bestFit="1" customWidth="1"/>
    <col min="6" max="6" width="13.421875" style="2" customWidth="1"/>
    <col min="7" max="7" width="11.57421875" style="2" customWidth="1"/>
    <col min="8" max="8" width="9.140625" style="2" customWidth="1"/>
    <col min="9" max="9" width="13.00390625" style="2" customWidth="1"/>
    <col min="10" max="16384" width="9.140625" style="2" customWidth="1"/>
  </cols>
  <sheetData>
    <row r="1" ht="15.75">
      <c r="B1" s="760" t="s">
        <v>1241</v>
      </c>
    </row>
    <row r="3" spans="1:5" s="43" customFormat="1" ht="25.5">
      <c r="A3" s="40" t="s">
        <v>783</v>
      </c>
      <c r="B3" s="40" t="s">
        <v>784</v>
      </c>
      <c r="C3" s="40" t="s">
        <v>785</v>
      </c>
      <c r="D3" s="108" t="s">
        <v>1171</v>
      </c>
      <c r="E3" s="40" t="s">
        <v>1172</v>
      </c>
    </row>
    <row r="4" spans="1:5" ht="12.75">
      <c r="A4" s="690">
        <v>7130200201</v>
      </c>
      <c r="B4" s="686" t="s">
        <v>1167</v>
      </c>
      <c r="C4" s="683" t="s">
        <v>28</v>
      </c>
      <c r="D4" s="687">
        <v>4212</v>
      </c>
      <c r="E4" s="141"/>
    </row>
    <row r="5" spans="1:5" ht="12.75">
      <c r="A5" s="690">
        <v>7130200202</v>
      </c>
      <c r="B5" s="686" t="s">
        <v>1168</v>
      </c>
      <c r="C5" s="683" t="s">
        <v>28</v>
      </c>
      <c r="D5" s="687">
        <v>3019</v>
      </c>
      <c r="E5" s="141"/>
    </row>
    <row r="6" spans="1:5" ht="25.5">
      <c r="A6" s="692">
        <v>7130200204</v>
      </c>
      <c r="B6" s="691" t="s">
        <v>187</v>
      </c>
      <c r="C6" s="675" t="s">
        <v>695</v>
      </c>
      <c r="D6" s="695">
        <v>157</v>
      </c>
      <c r="E6" s="232" t="s">
        <v>951</v>
      </c>
    </row>
    <row r="7" spans="1:5" ht="16.5" customHeight="1">
      <c r="A7" s="692">
        <v>7130200401</v>
      </c>
      <c r="B7" s="691" t="s">
        <v>185</v>
      </c>
      <c r="C7" s="675" t="s">
        <v>186</v>
      </c>
      <c r="D7" s="695">
        <v>268</v>
      </c>
      <c r="E7" s="232" t="s">
        <v>948</v>
      </c>
    </row>
    <row r="8" spans="1:5" ht="18.75" customHeight="1">
      <c r="A8" s="692">
        <v>7130201343</v>
      </c>
      <c r="B8" s="691" t="s">
        <v>188</v>
      </c>
      <c r="C8" s="683" t="s">
        <v>189</v>
      </c>
      <c r="D8" s="695">
        <v>10423</v>
      </c>
      <c r="E8" s="232"/>
    </row>
    <row r="9" spans="1:5" ht="15" customHeight="1">
      <c r="A9" s="688">
        <v>7130210809</v>
      </c>
      <c r="B9" s="686" t="s">
        <v>648</v>
      </c>
      <c r="C9" s="683" t="s">
        <v>1015</v>
      </c>
      <c r="D9" s="687">
        <v>290</v>
      </c>
      <c r="E9" s="232" t="s">
        <v>952</v>
      </c>
    </row>
    <row r="10" spans="1:5" ht="15" customHeight="1">
      <c r="A10" s="692">
        <v>7130211121</v>
      </c>
      <c r="B10" s="691" t="s">
        <v>799</v>
      </c>
      <c r="C10" s="675" t="s">
        <v>30</v>
      </c>
      <c r="D10" s="695">
        <v>223</v>
      </c>
      <c r="E10" s="232"/>
    </row>
    <row r="11" spans="1:5" ht="15" customHeight="1">
      <c r="A11" s="688">
        <v>7130211158</v>
      </c>
      <c r="B11" s="686" t="s">
        <v>754</v>
      </c>
      <c r="C11" s="683" t="s">
        <v>1015</v>
      </c>
      <c r="D11" s="687">
        <v>130</v>
      </c>
      <c r="E11" s="232" t="s">
        <v>953</v>
      </c>
    </row>
    <row r="12" spans="1:5" ht="25.5">
      <c r="A12" s="675">
        <v>7130300025</v>
      </c>
      <c r="B12" s="691" t="s">
        <v>626</v>
      </c>
      <c r="C12" s="687" t="s">
        <v>504</v>
      </c>
      <c r="D12" s="687">
        <v>225744</v>
      </c>
      <c r="E12" s="232" t="s">
        <v>954</v>
      </c>
    </row>
    <row r="13" spans="1:5" ht="12.75">
      <c r="A13" s="679">
        <v>7130310007</v>
      </c>
      <c r="B13" s="678" t="s">
        <v>499</v>
      </c>
      <c r="C13" s="679" t="s">
        <v>995</v>
      </c>
      <c r="D13" s="681">
        <v>73880</v>
      </c>
      <c r="E13" s="232" t="s">
        <v>955</v>
      </c>
    </row>
    <row r="14" spans="1:5" ht="15" customHeight="1">
      <c r="A14" s="679">
        <v>7130310008</v>
      </c>
      <c r="B14" s="678" t="s">
        <v>500</v>
      </c>
      <c r="C14" s="679" t="s">
        <v>995</v>
      </c>
      <c r="D14" s="681">
        <v>92081</v>
      </c>
      <c r="E14" s="232" t="s">
        <v>956</v>
      </c>
    </row>
    <row r="15" spans="1:5" ht="16.5" customHeight="1">
      <c r="A15" s="682">
        <v>7130310020</v>
      </c>
      <c r="B15" s="698" t="s">
        <v>1381</v>
      </c>
      <c r="C15" s="677" t="s">
        <v>504</v>
      </c>
      <c r="D15" s="681">
        <v>2104858</v>
      </c>
      <c r="E15" s="232" t="s">
        <v>1173</v>
      </c>
    </row>
    <row r="16" spans="1:5" ht="17.25" customHeight="1">
      <c r="A16" s="679">
        <v>7130310021</v>
      </c>
      <c r="B16" s="678" t="s">
        <v>497</v>
      </c>
      <c r="C16" s="679" t="s">
        <v>995</v>
      </c>
      <c r="D16" s="681">
        <v>39632</v>
      </c>
      <c r="E16" s="232" t="s">
        <v>957</v>
      </c>
    </row>
    <row r="17" spans="1:5" ht="12.75">
      <c r="A17" s="679">
        <v>7130310022</v>
      </c>
      <c r="B17" s="678" t="s">
        <v>498</v>
      </c>
      <c r="C17" s="679" t="s">
        <v>995</v>
      </c>
      <c r="D17" s="681">
        <v>56726</v>
      </c>
      <c r="E17" s="232" t="s">
        <v>958</v>
      </c>
    </row>
    <row r="18" spans="1:5" ht="27.75" customHeight="1">
      <c r="A18" s="683">
        <v>7130310031</v>
      </c>
      <c r="B18" s="691" t="s">
        <v>496</v>
      </c>
      <c r="C18" s="687" t="s">
        <v>504</v>
      </c>
      <c r="D18" s="687">
        <v>59321</v>
      </c>
      <c r="E18" s="232" t="s">
        <v>959</v>
      </c>
    </row>
    <row r="19" spans="1:5" ht="29.25" customHeight="1">
      <c r="A19" s="683">
        <v>7130310032</v>
      </c>
      <c r="B19" s="691" t="s">
        <v>50</v>
      </c>
      <c r="C19" s="687" t="s">
        <v>504</v>
      </c>
      <c r="D19" s="687">
        <v>75464</v>
      </c>
      <c r="E19" s="232" t="s">
        <v>960</v>
      </c>
    </row>
    <row r="20" spans="1:5" ht="30.75" customHeight="1">
      <c r="A20" s="683">
        <v>7130310033</v>
      </c>
      <c r="B20" s="691" t="s">
        <v>51</v>
      </c>
      <c r="C20" s="687" t="s">
        <v>504</v>
      </c>
      <c r="D20" s="687">
        <v>93866</v>
      </c>
      <c r="E20" s="232" t="s">
        <v>961</v>
      </c>
    </row>
    <row r="21" spans="1:5" ht="12.75">
      <c r="A21" s="696">
        <v>7130310038</v>
      </c>
      <c r="B21" s="686" t="s">
        <v>1444</v>
      </c>
      <c r="C21" s="683" t="s">
        <v>1445</v>
      </c>
      <c r="D21" s="687">
        <v>6</v>
      </c>
      <c r="E21" s="232" t="s">
        <v>962</v>
      </c>
    </row>
    <row r="22" spans="1:5" ht="12.75">
      <c r="A22" s="696">
        <v>7130310039</v>
      </c>
      <c r="B22" s="686" t="s">
        <v>1446</v>
      </c>
      <c r="C22" s="683" t="s">
        <v>1445</v>
      </c>
      <c r="D22" s="687">
        <v>27</v>
      </c>
      <c r="E22" s="232" t="s">
        <v>963</v>
      </c>
    </row>
    <row r="23" spans="1:9" ht="14.25" customHeight="1">
      <c r="A23" s="690">
        <v>7130310040</v>
      </c>
      <c r="B23" s="686" t="s">
        <v>1447</v>
      </c>
      <c r="C23" s="683" t="s">
        <v>1445</v>
      </c>
      <c r="D23" s="687">
        <v>55</v>
      </c>
      <c r="E23" s="232" t="s">
        <v>964</v>
      </c>
      <c r="I23" s="38"/>
    </row>
    <row r="24" spans="1:5" ht="12.75">
      <c r="A24" s="697">
        <v>7130310041</v>
      </c>
      <c r="B24" s="678" t="s">
        <v>501</v>
      </c>
      <c r="C24" s="679" t="s">
        <v>995</v>
      </c>
      <c r="D24" s="681">
        <v>101834</v>
      </c>
      <c r="E24" s="232" t="s">
        <v>965</v>
      </c>
    </row>
    <row r="25" spans="1:5" ht="12.75">
      <c r="A25" s="697">
        <v>7130310042</v>
      </c>
      <c r="B25" s="678" t="s">
        <v>503</v>
      </c>
      <c r="C25" s="677" t="s">
        <v>504</v>
      </c>
      <c r="D25" s="681">
        <v>66832</v>
      </c>
      <c r="E25" s="232" t="s">
        <v>966</v>
      </c>
    </row>
    <row r="26" spans="1:5" ht="12.75">
      <c r="A26" s="697">
        <v>7130310044</v>
      </c>
      <c r="B26" s="698" t="s">
        <v>1447</v>
      </c>
      <c r="C26" s="677" t="s">
        <v>504</v>
      </c>
      <c r="D26" s="681">
        <v>94953</v>
      </c>
      <c r="E26" s="232" t="s">
        <v>967</v>
      </c>
    </row>
    <row r="27" spans="1:5" ht="12.75">
      <c r="A27" s="682">
        <v>7130310048</v>
      </c>
      <c r="B27" s="698" t="s">
        <v>1448</v>
      </c>
      <c r="C27" s="677" t="s">
        <v>504</v>
      </c>
      <c r="D27" s="681">
        <v>139291</v>
      </c>
      <c r="E27" s="232"/>
    </row>
    <row r="28" spans="1:5" ht="12.75">
      <c r="A28" s="699">
        <v>7130310049</v>
      </c>
      <c r="B28" s="698" t="s">
        <v>39</v>
      </c>
      <c r="C28" s="677" t="s">
        <v>504</v>
      </c>
      <c r="D28" s="681">
        <v>401162</v>
      </c>
      <c r="E28" s="232"/>
    </row>
    <row r="29" spans="1:5" ht="12.75">
      <c r="A29" s="682">
        <v>7130310050</v>
      </c>
      <c r="B29" s="698" t="s">
        <v>40</v>
      </c>
      <c r="C29" s="677" t="s">
        <v>504</v>
      </c>
      <c r="D29" s="681">
        <v>1142914</v>
      </c>
      <c r="E29" s="232"/>
    </row>
    <row r="30" spans="1:5" ht="12.75">
      <c r="A30" s="682">
        <v>7130310051</v>
      </c>
      <c r="B30" s="698" t="s">
        <v>41</v>
      </c>
      <c r="C30" s="677" t="s">
        <v>504</v>
      </c>
      <c r="D30" s="680">
        <v>841556</v>
      </c>
      <c r="E30" s="232" t="s">
        <v>968</v>
      </c>
    </row>
    <row r="31" spans="1:5" ht="15.75" customHeight="1">
      <c r="A31" s="682">
        <v>7130310052</v>
      </c>
      <c r="B31" s="698" t="s">
        <v>42</v>
      </c>
      <c r="C31" s="677" t="s">
        <v>504</v>
      </c>
      <c r="D31" s="681">
        <v>1033058</v>
      </c>
      <c r="E31" s="232"/>
    </row>
    <row r="32" spans="1:5" ht="15.75" customHeight="1">
      <c r="A32" s="682">
        <v>7130310053</v>
      </c>
      <c r="B32" s="698" t="s">
        <v>43</v>
      </c>
      <c r="C32" s="677" t="s">
        <v>504</v>
      </c>
      <c r="D32" s="681">
        <v>1180744</v>
      </c>
      <c r="E32" s="232" t="s">
        <v>969</v>
      </c>
    </row>
    <row r="33" spans="1:5" ht="12.75">
      <c r="A33" s="682">
        <v>7130310054</v>
      </c>
      <c r="B33" s="698" t="s">
        <v>44</v>
      </c>
      <c r="C33" s="677" t="s">
        <v>504</v>
      </c>
      <c r="D33" s="681">
        <v>1501438</v>
      </c>
      <c r="E33" s="232" t="s">
        <v>970</v>
      </c>
    </row>
    <row r="34" spans="1:7" ht="25.5">
      <c r="A34" s="692">
        <v>7130310055</v>
      </c>
      <c r="B34" s="694" t="s">
        <v>45</v>
      </c>
      <c r="C34" s="675" t="s">
        <v>1012</v>
      </c>
      <c r="D34" s="687">
        <v>17336</v>
      </c>
      <c r="E34" s="232"/>
      <c r="G34" s="38"/>
    </row>
    <row r="35" spans="1:7" ht="25.5">
      <c r="A35" s="692">
        <v>7130310056</v>
      </c>
      <c r="B35" s="694" t="s">
        <v>46</v>
      </c>
      <c r="C35" s="675" t="s">
        <v>1012</v>
      </c>
      <c r="D35" s="700">
        <v>24765</v>
      </c>
      <c r="E35" s="232"/>
      <c r="G35" s="761"/>
    </row>
    <row r="36" spans="1:7" ht="25.5">
      <c r="A36" s="692">
        <v>7130310057</v>
      </c>
      <c r="B36" s="691" t="s">
        <v>487</v>
      </c>
      <c r="C36" s="687" t="s">
        <v>504</v>
      </c>
      <c r="D36" s="700">
        <v>287007</v>
      </c>
      <c r="E36" s="232" t="s">
        <v>427</v>
      </c>
      <c r="G36" s="38"/>
    </row>
    <row r="37" spans="1:5" ht="25.5">
      <c r="A37" s="692">
        <v>7130310058</v>
      </c>
      <c r="B37" s="691" t="s">
        <v>488</v>
      </c>
      <c r="C37" s="687" t="s">
        <v>504</v>
      </c>
      <c r="D37" s="700">
        <v>406042</v>
      </c>
      <c r="E37" s="232"/>
    </row>
    <row r="38" spans="1:5" ht="25.5">
      <c r="A38" s="692">
        <v>7130310059</v>
      </c>
      <c r="B38" s="691" t="s">
        <v>489</v>
      </c>
      <c r="C38" s="687" t="s">
        <v>504</v>
      </c>
      <c r="D38" s="700">
        <v>607146</v>
      </c>
      <c r="E38" s="232"/>
    </row>
    <row r="39" spans="1:5" ht="25.5">
      <c r="A39" s="692">
        <v>7130310060</v>
      </c>
      <c r="B39" s="691" t="s">
        <v>490</v>
      </c>
      <c r="C39" s="687" t="s">
        <v>504</v>
      </c>
      <c r="D39" s="700">
        <v>572690</v>
      </c>
      <c r="E39" s="232"/>
    </row>
    <row r="40" spans="1:5" ht="25.5">
      <c r="A40" s="692">
        <v>7130310061</v>
      </c>
      <c r="B40" s="694" t="s">
        <v>491</v>
      </c>
      <c r="C40" s="675" t="s">
        <v>1012</v>
      </c>
      <c r="D40" s="687">
        <v>3784</v>
      </c>
      <c r="E40" s="232" t="s">
        <v>428</v>
      </c>
    </row>
    <row r="41" spans="1:5" ht="25.5">
      <c r="A41" s="692">
        <v>7130310062</v>
      </c>
      <c r="B41" s="694" t="s">
        <v>492</v>
      </c>
      <c r="C41" s="675" t="s">
        <v>1012</v>
      </c>
      <c r="D41" s="687">
        <v>3982</v>
      </c>
      <c r="E41" s="232" t="s">
        <v>428</v>
      </c>
    </row>
    <row r="42" spans="1:5" ht="25.5">
      <c r="A42" s="690">
        <v>7130310063</v>
      </c>
      <c r="B42" s="691" t="s">
        <v>495</v>
      </c>
      <c r="C42" s="687" t="s">
        <v>504</v>
      </c>
      <c r="D42" s="687">
        <v>50560</v>
      </c>
      <c r="E42" s="232" t="s">
        <v>429</v>
      </c>
    </row>
    <row r="43" spans="1:6" ht="25.5" hidden="1">
      <c r="A43" s="764">
        <v>7130310064</v>
      </c>
      <c r="B43" s="775" t="s">
        <v>598</v>
      </c>
      <c r="C43" s="779" t="s">
        <v>504</v>
      </c>
      <c r="D43" s="765" t="s">
        <v>1242</v>
      </c>
      <c r="E43" s="766" t="s">
        <v>429</v>
      </c>
      <c r="F43" s="773"/>
    </row>
    <row r="44" spans="1:5" ht="25.5">
      <c r="A44" s="683">
        <v>7130310065</v>
      </c>
      <c r="B44" s="691" t="s">
        <v>52</v>
      </c>
      <c r="C44" s="687" t="s">
        <v>504</v>
      </c>
      <c r="D44" s="687">
        <v>118163</v>
      </c>
      <c r="E44" s="232" t="s">
        <v>430</v>
      </c>
    </row>
    <row r="45" spans="1:5" ht="25.5">
      <c r="A45" s="690">
        <v>7130310066</v>
      </c>
      <c r="B45" s="691" t="s">
        <v>625</v>
      </c>
      <c r="C45" s="687" t="s">
        <v>504</v>
      </c>
      <c r="D45" s="687">
        <v>129093</v>
      </c>
      <c r="E45" s="232" t="s">
        <v>431</v>
      </c>
    </row>
    <row r="46" spans="1:6" ht="25.5" hidden="1">
      <c r="A46" s="762">
        <v>7130310067</v>
      </c>
      <c r="B46" s="775" t="s">
        <v>199</v>
      </c>
      <c r="C46" s="779" t="s">
        <v>504</v>
      </c>
      <c r="D46" s="765" t="s">
        <v>1242</v>
      </c>
      <c r="E46" s="766" t="s">
        <v>431</v>
      </c>
      <c r="F46" s="773"/>
    </row>
    <row r="47" spans="1:6" ht="25.5" hidden="1">
      <c r="A47" s="762">
        <v>7130310068</v>
      </c>
      <c r="B47" s="775" t="s">
        <v>200</v>
      </c>
      <c r="C47" s="779" t="s">
        <v>504</v>
      </c>
      <c r="D47" s="765" t="s">
        <v>1242</v>
      </c>
      <c r="E47" s="766"/>
      <c r="F47" s="773"/>
    </row>
    <row r="48" spans="1:6" ht="25.5" hidden="1">
      <c r="A48" s="762">
        <v>7130310069</v>
      </c>
      <c r="B48" s="775" t="s">
        <v>859</v>
      </c>
      <c r="C48" s="779" t="s">
        <v>504</v>
      </c>
      <c r="D48" s="765" t="s">
        <v>1242</v>
      </c>
      <c r="E48" s="766" t="s">
        <v>431</v>
      </c>
      <c r="F48" s="773"/>
    </row>
    <row r="49" spans="1:5" ht="25.5">
      <c r="A49" s="675">
        <v>7130310070</v>
      </c>
      <c r="B49" s="691" t="s">
        <v>1376</v>
      </c>
      <c r="C49" s="687" t="s">
        <v>504</v>
      </c>
      <c r="D49" s="687">
        <v>47069</v>
      </c>
      <c r="E49" s="232" t="s">
        <v>432</v>
      </c>
    </row>
    <row r="50" spans="1:5" ht="25.5">
      <c r="A50" s="675">
        <v>7130310073</v>
      </c>
      <c r="B50" s="691" t="s">
        <v>654</v>
      </c>
      <c r="C50" s="687" t="s">
        <v>504</v>
      </c>
      <c r="D50" s="687">
        <v>60003</v>
      </c>
      <c r="E50" s="232" t="s">
        <v>433</v>
      </c>
    </row>
    <row r="51" spans="1:5" ht="18" customHeight="1">
      <c r="A51" s="682">
        <v>7130310075</v>
      </c>
      <c r="B51" s="698" t="s">
        <v>44</v>
      </c>
      <c r="C51" s="677" t="s">
        <v>504</v>
      </c>
      <c r="D51" s="681">
        <v>1926090</v>
      </c>
      <c r="E51" s="232" t="s">
        <v>434</v>
      </c>
    </row>
    <row r="52" spans="1:5" ht="19.5" customHeight="1">
      <c r="A52" s="692">
        <v>7130310076</v>
      </c>
      <c r="B52" s="691" t="s">
        <v>999</v>
      </c>
      <c r="C52" s="683" t="s">
        <v>504</v>
      </c>
      <c r="D52" s="687">
        <v>514014.41</v>
      </c>
      <c r="E52" s="141"/>
    </row>
    <row r="53" spans="1:5" ht="17.25" customHeight="1">
      <c r="A53" s="692">
        <v>7130310077</v>
      </c>
      <c r="B53" s="691" t="s">
        <v>1382</v>
      </c>
      <c r="C53" s="683" t="s">
        <v>504</v>
      </c>
      <c r="D53" s="687">
        <v>520056</v>
      </c>
      <c r="E53" s="232" t="s">
        <v>435</v>
      </c>
    </row>
    <row r="54" spans="1:5" ht="17.25" customHeight="1">
      <c r="A54" s="692">
        <v>7130310078</v>
      </c>
      <c r="B54" s="691" t="s">
        <v>1383</v>
      </c>
      <c r="C54" s="683" t="s">
        <v>504</v>
      </c>
      <c r="D54" s="687">
        <v>775508</v>
      </c>
      <c r="E54" s="232" t="s">
        <v>436</v>
      </c>
    </row>
    <row r="55" spans="1:5" ht="18" customHeight="1">
      <c r="A55" s="692">
        <v>7130310079</v>
      </c>
      <c r="B55" s="691" t="s">
        <v>1384</v>
      </c>
      <c r="C55" s="683" t="s">
        <v>504</v>
      </c>
      <c r="D55" s="687">
        <v>939613</v>
      </c>
      <c r="E55" s="232" t="s">
        <v>437</v>
      </c>
    </row>
    <row r="56" spans="1:5" ht="15.75" customHeight="1">
      <c r="A56" s="692">
        <v>7130310080</v>
      </c>
      <c r="B56" s="691" t="s">
        <v>1002</v>
      </c>
      <c r="C56" s="683" t="s">
        <v>504</v>
      </c>
      <c r="D56" s="687">
        <v>1447702</v>
      </c>
      <c r="E56" s="232" t="s">
        <v>438</v>
      </c>
    </row>
    <row r="57" spans="1:5" ht="12.75">
      <c r="A57" s="688">
        <v>7130310652</v>
      </c>
      <c r="B57" s="686" t="s">
        <v>1175</v>
      </c>
      <c r="C57" s="683" t="s">
        <v>995</v>
      </c>
      <c r="D57" s="687">
        <v>39708</v>
      </c>
      <c r="E57" s="141" t="s">
        <v>439</v>
      </c>
    </row>
    <row r="58" spans="1:5" ht="14.25" customHeight="1">
      <c r="A58" s="688">
        <v>7130310652</v>
      </c>
      <c r="B58" s="686" t="s">
        <v>1174</v>
      </c>
      <c r="C58" s="683" t="s">
        <v>995</v>
      </c>
      <c r="D58" s="687">
        <v>78312</v>
      </c>
      <c r="E58" s="232" t="s">
        <v>439</v>
      </c>
    </row>
    <row r="59" spans="1:5" ht="12.75">
      <c r="A59" s="688">
        <v>7130310654</v>
      </c>
      <c r="B59" s="686" t="s">
        <v>1176</v>
      </c>
      <c r="C59" s="683" t="s">
        <v>995</v>
      </c>
      <c r="D59" s="687">
        <v>67671</v>
      </c>
      <c r="E59" s="141" t="s">
        <v>440</v>
      </c>
    </row>
    <row r="60" spans="1:5" ht="12.75">
      <c r="A60" s="683">
        <v>7130310654</v>
      </c>
      <c r="B60" s="686" t="s">
        <v>1177</v>
      </c>
      <c r="C60" s="683" t="s">
        <v>995</v>
      </c>
      <c r="D60" s="687">
        <v>112811</v>
      </c>
      <c r="E60" s="141" t="s">
        <v>440</v>
      </c>
    </row>
    <row r="61" spans="1:5" ht="12.75">
      <c r="A61" s="688">
        <v>7130310658</v>
      </c>
      <c r="B61" s="686" t="s">
        <v>1178</v>
      </c>
      <c r="C61" s="683" t="s">
        <v>995</v>
      </c>
      <c r="D61" s="687">
        <v>125719</v>
      </c>
      <c r="E61" s="141" t="s">
        <v>441</v>
      </c>
    </row>
    <row r="62" spans="1:5" ht="12.75">
      <c r="A62" s="688">
        <v>7130310660</v>
      </c>
      <c r="B62" s="686" t="s">
        <v>1179</v>
      </c>
      <c r="C62" s="683" t="s">
        <v>995</v>
      </c>
      <c r="D62" s="687">
        <v>154500</v>
      </c>
      <c r="E62" s="141" t="s">
        <v>627</v>
      </c>
    </row>
    <row r="63" spans="1:5" ht="12.75">
      <c r="A63" s="688">
        <v>7130310660</v>
      </c>
      <c r="B63" s="686" t="s">
        <v>1180</v>
      </c>
      <c r="C63" s="683" t="s">
        <v>995</v>
      </c>
      <c r="D63" s="687">
        <v>172208</v>
      </c>
      <c r="E63" s="141" t="s">
        <v>627</v>
      </c>
    </row>
    <row r="64" spans="1:5" ht="12.75">
      <c r="A64" s="688">
        <v>7130310662</v>
      </c>
      <c r="B64" s="686" t="s">
        <v>1181</v>
      </c>
      <c r="C64" s="683" t="s">
        <v>995</v>
      </c>
      <c r="D64" s="687">
        <v>173129</v>
      </c>
      <c r="E64" s="141" t="s">
        <v>628</v>
      </c>
    </row>
    <row r="65" spans="1:5" ht="12.75">
      <c r="A65" s="675">
        <v>7130311008</v>
      </c>
      <c r="B65" s="686" t="s">
        <v>996</v>
      </c>
      <c r="C65" s="683" t="s">
        <v>997</v>
      </c>
      <c r="D65" s="687">
        <v>15990</v>
      </c>
      <c r="E65" s="141" t="s">
        <v>629</v>
      </c>
    </row>
    <row r="66" spans="1:5" ht="12.75">
      <c r="A66" s="683">
        <v>7130311009</v>
      </c>
      <c r="B66" s="686" t="s">
        <v>998</v>
      </c>
      <c r="C66" s="683" t="s">
        <v>997</v>
      </c>
      <c r="D66" s="687">
        <v>38685</v>
      </c>
      <c r="E66" s="141" t="s">
        <v>630</v>
      </c>
    </row>
    <row r="67" spans="1:5" ht="12.75">
      <c r="A67" s="683">
        <v>7130311010</v>
      </c>
      <c r="B67" s="686" t="s">
        <v>999</v>
      </c>
      <c r="C67" s="683" t="s">
        <v>997</v>
      </c>
      <c r="D67" s="687">
        <v>52581</v>
      </c>
      <c r="E67" s="141" t="s">
        <v>631</v>
      </c>
    </row>
    <row r="68" spans="1:5" ht="12.75" customHeight="1">
      <c r="A68" s="683">
        <v>7130311011</v>
      </c>
      <c r="B68" s="686" t="s">
        <v>1000</v>
      </c>
      <c r="C68" s="683" t="s">
        <v>997</v>
      </c>
      <c r="D68" s="687">
        <v>101586</v>
      </c>
      <c r="E68" s="141" t="s">
        <v>632</v>
      </c>
    </row>
    <row r="69" spans="1:5" ht="12.75">
      <c r="A69" s="683">
        <v>7130311012</v>
      </c>
      <c r="B69" s="686" t="s">
        <v>1001</v>
      </c>
      <c r="C69" s="683" t="s">
        <v>997</v>
      </c>
      <c r="D69" s="687">
        <v>198613</v>
      </c>
      <c r="E69" s="141" t="s">
        <v>633</v>
      </c>
    </row>
    <row r="70" spans="1:5" ht="12.75">
      <c r="A70" s="683">
        <v>7130311013</v>
      </c>
      <c r="B70" s="686" t="s">
        <v>1002</v>
      </c>
      <c r="C70" s="683" t="s">
        <v>997</v>
      </c>
      <c r="D70" s="687">
        <v>247683</v>
      </c>
      <c r="E70" s="141" t="s">
        <v>634</v>
      </c>
    </row>
    <row r="71" spans="1:5" ht="12.75">
      <c r="A71" s="685">
        <v>7130311054</v>
      </c>
      <c r="B71" s="678" t="s">
        <v>38</v>
      </c>
      <c r="C71" s="677" t="s">
        <v>504</v>
      </c>
      <c r="D71" s="681">
        <v>213718</v>
      </c>
      <c r="E71" s="141" t="s">
        <v>635</v>
      </c>
    </row>
    <row r="72" spans="1:5" ht="12.75" customHeight="1">
      <c r="A72" s="685">
        <v>7130311057</v>
      </c>
      <c r="B72" s="678" t="s">
        <v>501</v>
      </c>
      <c r="C72" s="677" t="s">
        <v>504</v>
      </c>
      <c r="D72" s="681">
        <v>412459</v>
      </c>
      <c r="E72" s="141" t="s">
        <v>636</v>
      </c>
    </row>
    <row r="73" spans="1:5" ht="12.75">
      <c r="A73" s="685">
        <v>7130311061</v>
      </c>
      <c r="B73" s="678" t="s">
        <v>502</v>
      </c>
      <c r="C73" s="677" t="s">
        <v>504</v>
      </c>
      <c r="D73" s="681">
        <v>784944</v>
      </c>
      <c r="E73" s="141" t="s">
        <v>637</v>
      </c>
    </row>
    <row r="74" spans="1:5" ht="12.75">
      <c r="A74" s="685">
        <v>7130311084</v>
      </c>
      <c r="B74" s="678" t="s">
        <v>503</v>
      </c>
      <c r="C74" s="677" t="s">
        <v>504</v>
      </c>
      <c r="D74" s="681">
        <v>99916</v>
      </c>
      <c r="E74" s="141" t="s">
        <v>638</v>
      </c>
    </row>
    <row r="75" spans="1:7" ht="25.5">
      <c r="A75" s="692">
        <v>7130320037</v>
      </c>
      <c r="B75" s="694" t="s">
        <v>47</v>
      </c>
      <c r="C75" s="675" t="s">
        <v>1012</v>
      </c>
      <c r="D75" s="700">
        <v>9906</v>
      </c>
      <c r="E75" s="141"/>
      <c r="G75" s="761"/>
    </row>
    <row r="76" spans="1:7" ht="25.5">
      <c r="A76" s="692">
        <v>7130320038</v>
      </c>
      <c r="B76" s="694" t="s">
        <v>48</v>
      </c>
      <c r="C76" s="675" t="s">
        <v>1012</v>
      </c>
      <c r="D76" s="700">
        <v>12383</v>
      </c>
      <c r="E76" s="141" t="s">
        <v>639</v>
      </c>
      <c r="G76" s="761"/>
    </row>
    <row r="77" spans="1:7" ht="18.75" customHeight="1">
      <c r="A77" s="692">
        <v>7130320039</v>
      </c>
      <c r="B77" s="694" t="s">
        <v>694</v>
      </c>
      <c r="C77" s="675" t="s">
        <v>1012</v>
      </c>
      <c r="D77" s="700">
        <v>14859</v>
      </c>
      <c r="E77" s="141" t="s">
        <v>640</v>
      </c>
      <c r="G77" s="761"/>
    </row>
    <row r="78" spans="1:7" ht="26.25" customHeight="1">
      <c r="A78" s="692">
        <v>7130320040</v>
      </c>
      <c r="B78" s="694" t="s">
        <v>483</v>
      </c>
      <c r="C78" s="675" t="s">
        <v>1012</v>
      </c>
      <c r="D78" s="700">
        <v>17336</v>
      </c>
      <c r="E78" s="141" t="s">
        <v>641</v>
      </c>
      <c r="G78" s="761"/>
    </row>
    <row r="79" spans="1:7" ht="27" customHeight="1">
      <c r="A79" s="692">
        <v>7130320041</v>
      </c>
      <c r="B79" s="694" t="s">
        <v>484</v>
      </c>
      <c r="C79" s="675" t="s">
        <v>1012</v>
      </c>
      <c r="D79" s="700">
        <v>18574</v>
      </c>
      <c r="E79" s="141"/>
      <c r="G79" s="761"/>
    </row>
    <row r="80" spans="1:7" ht="21.75" customHeight="1">
      <c r="A80" s="692">
        <v>7130320042</v>
      </c>
      <c r="B80" s="694" t="s">
        <v>485</v>
      </c>
      <c r="C80" s="675" t="s">
        <v>1012</v>
      </c>
      <c r="D80" s="700">
        <v>22289</v>
      </c>
      <c r="E80" s="141"/>
      <c r="G80" s="761"/>
    </row>
    <row r="81" spans="1:7" ht="28.5" customHeight="1">
      <c r="A81" s="692">
        <v>7130320043</v>
      </c>
      <c r="B81" s="694" t="s">
        <v>793</v>
      </c>
      <c r="C81" s="675" t="s">
        <v>897</v>
      </c>
      <c r="D81" s="700">
        <v>780</v>
      </c>
      <c r="E81" s="141" t="s">
        <v>642</v>
      </c>
      <c r="G81" s="761"/>
    </row>
    <row r="82" spans="1:7" ht="25.5">
      <c r="A82" s="701">
        <v>7130320044</v>
      </c>
      <c r="B82" s="694" t="s">
        <v>792</v>
      </c>
      <c r="C82" s="675" t="s">
        <v>897</v>
      </c>
      <c r="D82" s="700">
        <v>842</v>
      </c>
      <c r="E82" s="141"/>
      <c r="G82" s="761"/>
    </row>
    <row r="83" spans="1:7" ht="19.5" customHeight="1">
      <c r="A83" s="701">
        <v>7130320045</v>
      </c>
      <c r="B83" s="694" t="s">
        <v>486</v>
      </c>
      <c r="C83" s="675" t="s">
        <v>897</v>
      </c>
      <c r="D83" s="684">
        <v>25</v>
      </c>
      <c r="E83" s="141"/>
      <c r="G83" s="761"/>
    </row>
    <row r="84" spans="1:6" ht="18" hidden="1">
      <c r="A84" s="762">
        <v>7130320046</v>
      </c>
      <c r="B84" s="767" t="s">
        <v>595</v>
      </c>
      <c r="C84" s="762" t="s">
        <v>1012</v>
      </c>
      <c r="D84" s="765" t="s">
        <v>1242</v>
      </c>
      <c r="E84" s="766" t="s">
        <v>643</v>
      </c>
      <c r="F84" s="773"/>
    </row>
    <row r="85" spans="1:6" ht="25.5" hidden="1">
      <c r="A85" s="762">
        <v>7130320047</v>
      </c>
      <c r="B85" s="767" t="s">
        <v>596</v>
      </c>
      <c r="C85" s="762" t="s">
        <v>1012</v>
      </c>
      <c r="D85" s="765" t="s">
        <v>1242</v>
      </c>
      <c r="E85" s="766" t="s">
        <v>644</v>
      </c>
      <c r="F85" s="773"/>
    </row>
    <row r="86" spans="1:5" ht="25.5">
      <c r="A86" s="692">
        <v>7130320048</v>
      </c>
      <c r="B86" s="694" t="s">
        <v>493</v>
      </c>
      <c r="C86" s="675" t="s">
        <v>1012</v>
      </c>
      <c r="D86" s="687">
        <v>2396</v>
      </c>
      <c r="E86" s="232" t="s">
        <v>971</v>
      </c>
    </row>
    <row r="87" spans="1:5" ht="25.5">
      <c r="A87" s="692">
        <v>7130320049</v>
      </c>
      <c r="B87" s="694" t="s">
        <v>494</v>
      </c>
      <c r="C87" s="675" t="s">
        <v>1012</v>
      </c>
      <c r="D87" s="687">
        <v>2524</v>
      </c>
      <c r="E87" s="232"/>
    </row>
    <row r="88" spans="1:5" ht="25.5">
      <c r="A88" s="692">
        <v>7130320053</v>
      </c>
      <c r="B88" s="691" t="s">
        <v>664</v>
      </c>
      <c r="C88" s="675" t="s">
        <v>26</v>
      </c>
      <c r="D88" s="687">
        <v>5</v>
      </c>
      <c r="E88" s="232" t="s">
        <v>972</v>
      </c>
    </row>
    <row r="89" spans="1:5" ht="25.5">
      <c r="A89" s="692">
        <v>7130352010</v>
      </c>
      <c r="B89" s="691" t="s">
        <v>1205</v>
      </c>
      <c r="C89" s="683" t="s">
        <v>1012</v>
      </c>
      <c r="D89" s="687">
        <v>35084</v>
      </c>
      <c r="E89" s="232" t="s">
        <v>973</v>
      </c>
    </row>
    <row r="90" spans="1:5" ht="12.75">
      <c r="A90" s="697">
        <v>7130352030</v>
      </c>
      <c r="B90" s="698" t="s">
        <v>665</v>
      </c>
      <c r="C90" s="677" t="s">
        <v>1012</v>
      </c>
      <c r="D90" s="680">
        <v>804</v>
      </c>
      <c r="E90" s="232"/>
    </row>
    <row r="91" spans="1:5" ht="12.75">
      <c r="A91" s="697">
        <v>7130352031</v>
      </c>
      <c r="B91" s="698" t="s">
        <v>1169</v>
      </c>
      <c r="C91" s="677" t="s">
        <v>1012</v>
      </c>
      <c r="D91" s="680">
        <v>804</v>
      </c>
      <c r="E91" s="232" t="s">
        <v>974</v>
      </c>
    </row>
    <row r="92" spans="1:5" ht="12.75">
      <c r="A92" s="697">
        <v>7130352032</v>
      </c>
      <c r="B92" s="698" t="s">
        <v>1170</v>
      </c>
      <c r="C92" s="677" t="s">
        <v>1012</v>
      </c>
      <c r="D92" s="680">
        <v>863</v>
      </c>
      <c r="E92" s="141"/>
    </row>
    <row r="93" spans="1:5" ht="12.75">
      <c r="A93" s="697">
        <v>7130352033</v>
      </c>
      <c r="B93" s="698" t="s">
        <v>1377</v>
      </c>
      <c r="C93" s="677" t="s">
        <v>1012</v>
      </c>
      <c r="D93" s="680">
        <v>1213</v>
      </c>
      <c r="E93" s="141"/>
    </row>
    <row r="94" spans="1:5" ht="12.75">
      <c r="A94" s="697">
        <v>7130352034</v>
      </c>
      <c r="B94" s="698" t="s">
        <v>1378</v>
      </c>
      <c r="C94" s="677" t="s">
        <v>1012</v>
      </c>
      <c r="D94" s="680">
        <v>1808</v>
      </c>
      <c r="E94" s="141"/>
    </row>
    <row r="95" spans="1:5" ht="12.75" customHeight="1">
      <c r="A95" s="697">
        <v>7130352035</v>
      </c>
      <c r="B95" s="698" t="s">
        <v>1379</v>
      </c>
      <c r="C95" s="677" t="s">
        <v>1012</v>
      </c>
      <c r="D95" s="680">
        <v>2923</v>
      </c>
      <c r="E95" s="141"/>
    </row>
    <row r="96" spans="1:5" ht="12.75">
      <c r="A96" s="697">
        <v>7130352036</v>
      </c>
      <c r="B96" s="698" t="s">
        <v>1380</v>
      </c>
      <c r="C96" s="677" t="s">
        <v>1012</v>
      </c>
      <c r="D96" s="680">
        <v>3735</v>
      </c>
      <c r="E96" s="141"/>
    </row>
    <row r="97" spans="1:5" ht="25.5">
      <c r="A97" s="692">
        <v>7130352037</v>
      </c>
      <c r="B97" s="691" t="s">
        <v>128</v>
      </c>
      <c r="C97" s="683" t="s">
        <v>1012</v>
      </c>
      <c r="D97" s="687">
        <v>21050</v>
      </c>
      <c r="E97" s="232" t="s">
        <v>975</v>
      </c>
    </row>
    <row r="98" spans="1:5" ht="12.75">
      <c r="A98" s="682">
        <v>7130352038</v>
      </c>
      <c r="B98" s="698" t="s">
        <v>1385</v>
      </c>
      <c r="C98" s="677" t="s">
        <v>1012</v>
      </c>
      <c r="D98" s="680">
        <v>7880</v>
      </c>
      <c r="E98" s="141"/>
    </row>
    <row r="99" spans="1:5" ht="12.75">
      <c r="A99" s="682">
        <v>7130352039</v>
      </c>
      <c r="B99" s="698" t="s">
        <v>1386</v>
      </c>
      <c r="C99" s="677" t="s">
        <v>1012</v>
      </c>
      <c r="D99" s="684">
        <v>8701</v>
      </c>
      <c r="E99" s="141" t="s">
        <v>976</v>
      </c>
    </row>
    <row r="100" spans="1:5" ht="12.75">
      <c r="A100" s="682">
        <v>7130352040</v>
      </c>
      <c r="B100" s="698" t="s">
        <v>1387</v>
      </c>
      <c r="C100" s="677" t="s">
        <v>1012</v>
      </c>
      <c r="D100" s="680">
        <v>10187</v>
      </c>
      <c r="E100" s="141" t="s">
        <v>977</v>
      </c>
    </row>
    <row r="101" spans="1:5" ht="12.75">
      <c r="A101" s="682">
        <v>7130352041</v>
      </c>
      <c r="B101" s="698" t="s">
        <v>1388</v>
      </c>
      <c r="C101" s="677" t="s">
        <v>1012</v>
      </c>
      <c r="D101" s="684">
        <v>10751</v>
      </c>
      <c r="E101" s="141" t="s">
        <v>978</v>
      </c>
    </row>
    <row r="102" spans="1:5" ht="12.75">
      <c r="A102" s="682">
        <v>7130352042</v>
      </c>
      <c r="B102" s="698" t="s">
        <v>1389</v>
      </c>
      <c r="C102" s="677" t="s">
        <v>1012</v>
      </c>
      <c r="D102" s="684">
        <v>11000</v>
      </c>
      <c r="E102" s="141" t="s">
        <v>979</v>
      </c>
    </row>
    <row r="103" spans="1:5" ht="12.75">
      <c r="A103" s="692">
        <v>7130352043</v>
      </c>
      <c r="B103" s="698" t="s">
        <v>1386</v>
      </c>
      <c r="C103" s="675" t="s">
        <v>1012</v>
      </c>
      <c r="D103" s="700">
        <v>2406</v>
      </c>
      <c r="E103" s="141" t="s">
        <v>980</v>
      </c>
    </row>
    <row r="104" spans="1:5" ht="12.75">
      <c r="A104" s="692">
        <v>7130352044</v>
      </c>
      <c r="B104" s="698" t="s">
        <v>1388</v>
      </c>
      <c r="C104" s="675" t="s">
        <v>1012</v>
      </c>
      <c r="D104" s="700">
        <v>2561</v>
      </c>
      <c r="E104" s="141" t="s">
        <v>981</v>
      </c>
    </row>
    <row r="105" spans="1:5" ht="12.75">
      <c r="A105" s="692">
        <v>7130352045</v>
      </c>
      <c r="B105" s="698" t="s">
        <v>1389</v>
      </c>
      <c r="C105" s="675" t="s">
        <v>1012</v>
      </c>
      <c r="D105" s="700">
        <v>2630</v>
      </c>
      <c r="E105" s="141" t="s">
        <v>982</v>
      </c>
    </row>
    <row r="106" spans="1:5" ht="12.75">
      <c r="A106" s="699">
        <v>7130352046</v>
      </c>
      <c r="B106" s="678" t="s">
        <v>624</v>
      </c>
      <c r="C106" s="679" t="s">
        <v>1013</v>
      </c>
      <c r="D106" s="681">
        <v>3096</v>
      </c>
      <c r="E106" s="141" t="s">
        <v>983</v>
      </c>
    </row>
    <row r="107" spans="1:5" ht="12.75">
      <c r="A107" s="692">
        <v>7130354274</v>
      </c>
      <c r="B107" s="694" t="s">
        <v>1094</v>
      </c>
      <c r="C107" s="675" t="s">
        <v>695</v>
      </c>
      <c r="D107" s="695">
        <v>2</v>
      </c>
      <c r="E107" s="141" t="s">
        <v>984</v>
      </c>
    </row>
    <row r="108" spans="1:5" ht="12.75">
      <c r="A108" s="692">
        <v>7130354275</v>
      </c>
      <c r="B108" s="694" t="s">
        <v>1095</v>
      </c>
      <c r="C108" s="675" t="s">
        <v>695</v>
      </c>
      <c r="D108" s="695">
        <v>2</v>
      </c>
      <c r="E108" s="141" t="s">
        <v>162</v>
      </c>
    </row>
    <row r="109" spans="1:5" ht="12.75">
      <c r="A109" s="692">
        <v>7130354276</v>
      </c>
      <c r="B109" s="694" t="s">
        <v>1096</v>
      </c>
      <c r="C109" s="675" t="s">
        <v>695</v>
      </c>
      <c r="D109" s="695">
        <v>4</v>
      </c>
      <c r="E109" s="141"/>
    </row>
    <row r="110" spans="1:5" ht="12.75">
      <c r="A110" s="692">
        <v>7130354277</v>
      </c>
      <c r="B110" s="694" t="s">
        <v>1097</v>
      </c>
      <c r="C110" s="675" t="s">
        <v>695</v>
      </c>
      <c r="D110" s="695">
        <v>5</v>
      </c>
      <c r="E110" s="141"/>
    </row>
    <row r="111" spans="1:5" ht="12.75">
      <c r="A111" s="692">
        <v>7130354278</v>
      </c>
      <c r="B111" s="694" t="s">
        <v>1098</v>
      </c>
      <c r="C111" s="675" t="s">
        <v>695</v>
      </c>
      <c r="D111" s="695">
        <v>8</v>
      </c>
      <c r="E111" s="141" t="s">
        <v>163</v>
      </c>
    </row>
    <row r="112" spans="1:5" ht="12.75">
      <c r="A112" s="692">
        <v>7130354279</v>
      </c>
      <c r="B112" s="694" t="s">
        <v>1099</v>
      </c>
      <c r="C112" s="675" t="s">
        <v>695</v>
      </c>
      <c r="D112" s="695">
        <v>13</v>
      </c>
      <c r="E112" s="141" t="s">
        <v>164</v>
      </c>
    </row>
    <row r="113" spans="1:5" ht="12.75">
      <c r="A113" s="692">
        <v>7130354280</v>
      </c>
      <c r="B113" s="694" t="s">
        <v>1100</v>
      </c>
      <c r="C113" s="675" t="s">
        <v>695</v>
      </c>
      <c r="D113" s="695">
        <v>16</v>
      </c>
      <c r="E113" s="141" t="s">
        <v>165</v>
      </c>
    </row>
    <row r="114" spans="1:5" ht="12.75" customHeight="1">
      <c r="A114" s="692">
        <v>7130354281</v>
      </c>
      <c r="B114" s="694" t="s">
        <v>1101</v>
      </c>
      <c r="C114" s="675" t="s">
        <v>695</v>
      </c>
      <c r="D114" s="695">
        <v>22</v>
      </c>
      <c r="E114" s="141" t="s">
        <v>166</v>
      </c>
    </row>
    <row r="115" spans="1:5" ht="17.25" customHeight="1">
      <c r="A115" s="692">
        <v>7130354282</v>
      </c>
      <c r="B115" s="694" t="s">
        <v>1102</v>
      </c>
      <c r="C115" s="675" t="s">
        <v>695</v>
      </c>
      <c r="D115" s="695">
        <v>25</v>
      </c>
      <c r="E115" s="141" t="s">
        <v>167</v>
      </c>
    </row>
    <row r="116" spans="1:5" ht="12.75">
      <c r="A116" s="692">
        <v>7130354283</v>
      </c>
      <c r="B116" s="694" t="s">
        <v>703</v>
      </c>
      <c r="C116" s="675" t="s">
        <v>695</v>
      </c>
      <c r="D116" s="695">
        <v>40</v>
      </c>
      <c r="E116" s="141"/>
    </row>
    <row r="117" spans="1:5" ht="12.75">
      <c r="A117" s="692">
        <v>7130354284</v>
      </c>
      <c r="B117" s="694" t="s">
        <v>704</v>
      </c>
      <c r="C117" s="675" t="s">
        <v>695</v>
      </c>
      <c r="D117" s="695">
        <v>46</v>
      </c>
      <c r="E117" s="141"/>
    </row>
    <row r="118" spans="1:5" ht="12.75" customHeight="1">
      <c r="A118" s="692">
        <v>7130354285</v>
      </c>
      <c r="B118" s="694" t="s">
        <v>705</v>
      </c>
      <c r="C118" s="675" t="s">
        <v>695</v>
      </c>
      <c r="D118" s="695">
        <v>66</v>
      </c>
      <c r="E118" s="141"/>
    </row>
    <row r="119" spans="1:5" ht="12.75">
      <c r="A119" s="692">
        <v>7130354286</v>
      </c>
      <c r="B119" s="694" t="s">
        <v>706</v>
      </c>
      <c r="C119" s="675" t="s">
        <v>695</v>
      </c>
      <c r="D119" s="695">
        <v>77</v>
      </c>
      <c r="E119" s="141" t="s">
        <v>168</v>
      </c>
    </row>
    <row r="120" spans="1:5" ht="12.75">
      <c r="A120" s="692">
        <v>7130354287</v>
      </c>
      <c r="B120" s="694" t="s">
        <v>707</v>
      </c>
      <c r="C120" s="675" t="s">
        <v>695</v>
      </c>
      <c r="D120" s="695">
        <v>100</v>
      </c>
      <c r="E120" s="141"/>
    </row>
    <row r="121" spans="1:5" ht="25.5">
      <c r="A121" s="675">
        <v>7130354442</v>
      </c>
      <c r="B121" s="691" t="s">
        <v>659</v>
      </c>
      <c r="C121" s="687" t="s">
        <v>695</v>
      </c>
      <c r="D121" s="687">
        <v>627</v>
      </c>
      <c r="E121" s="232" t="s">
        <v>169</v>
      </c>
    </row>
    <row r="122" spans="1:5" ht="38.25">
      <c r="A122" s="675">
        <v>7130390003</v>
      </c>
      <c r="B122" s="691" t="s">
        <v>656</v>
      </c>
      <c r="C122" s="687" t="s">
        <v>695</v>
      </c>
      <c r="D122" s="687">
        <v>80</v>
      </c>
      <c r="E122" s="232" t="s">
        <v>170</v>
      </c>
    </row>
    <row r="123" spans="1:5" ht="38.25">
      <c r="A123" s="675">
        <v>7130390004</v>
      </c>
      <c r="B123" s="691" t="s">
        <v>657</v>
      </c>
      <c r="C123" s="687" t="s">
        <v>695</v>
      </c>
      <c r="D123" s="687">
        <v>104</v>
      </c>
      <c r="E123" s="232" t="s">
        <v>171</v>
      </c>
    </row>
    <row r="124" spans="1:5" ht="39.75" customHeight="1">
      <c r="A124" s="675">
        <v>7130390005</v>
      </c>
      <c r="B124" s="691" t="s">
        <v>658</v>
      </c>
      <c r="C124" s="687" t="s">
        <v>695</v>
      </c>
      <c r="D124" s="687">
        <v>145</v>
      </c>
      <c r="E124" s="232" t="s">
        <v>599</v>
      </c>
    </row>
    <row r="125" spans="1:5" ht="18" customHeight="1">
      <c r="A125" s="692">
        <v>7130390006</v>
      </c>
      <c r="B125" s="691" t="s">
        <v>663</v>
      </c>
      <c r="C125" s="675" t="s">
        <v>897</v>
      </c>
      <c r="D125" s="695">
        <v>149</v>
      </c>
      <c r="E125" s="232" t="s">
        <v>600</v>
      </c>
    </row>
    <row r="126" spans="1:5" ht="16.5" customHeight="1">
      <c r="A126" s="675">
        <v>7130390007</v>
      </c>
      <c r="B126" s="691" t="s">
        <v>1022</v>
      </c>
      <c r="C126" s="687" t="s">
        <v>695</v>
      </c>
      <c r="D126" s="687">
        <v>172</v>
      </c>
      <c r="E126" s="232" t="s">
        <v>601</v>
      </c>
    </row>
    <row r="127" spans="1:6" ht="25.5" hidden="1">
      <c r="A127" s="762">
        <v>7130390008</v>
      </c>
      <c r="B127" s="775" t="s">
        <v>864</v>
      </c>
      <c r="C127" s="762" t="s">
        <v>897</v>
      </c>
      <c r="D127" s="765" t="s">
        <v>1242</v>
      </c>
      <c r="E127" s="771"/>
      <c r="F127" s="773"/>
    </row>
    <row r="128" spans="1:6" ht="25.5" hidden="1">
      <c r="A128" s="762">
        <v>7130390017</v>
      </c>
      <c r="B128" s="767" t="s">
        <v>508</v>
      </c>
      <c r="C128" s="762" t="s">
        <v>897</v>
      </c>
      <c r="D128" s="765" t="s">
        <v>1242</v>
      </c>
      <c r="E128" s="771"/>
      <c r="F128" s="773"/>
    </row>
    <row r="129" spans="1:6" ht="25.5" hidden="1">
      <c r="A129" s="762">
        <v>7130390018</v>
      </c>
      <c r="B129" s="775" t="s">
        <v>509</v>
      </c>
      <c r="C129" s="762" t="s">
        <v>897</v>
      </c>
      <c r="D129" s="765" t="s">
        <v>1242</v>
      </c>
      <c r="E129" s="771"/>
      <c r="F129" s="773"/>
    </row>
    <row r="130" spans="1:5" ht="17.25" customHeight="1">
      <c r="A130" s="692">
        <v>7130390019</v>
      </c>
      <c r="B130" s="691" t="s">
        <v>1023</v>
      </c>
      <c r="C130" s="675" t="s">
        <v>695</v>
      </c>
      <c r="D130" s="695">
        <v>28</v>
      </c>
      <c r="E130" s="232" t="s">
        <v>602</v>
      </c>
    </row>
    <row r="131" spans="1:5" ht="17.25" customHeight="1">
      <c r="A131" s="688">
        <v>7130600023</v>
      </c>
      <c r="B131" s="686" t="s">
        <v>1442</v>
      </c>
      <c r="C131" s="683" t="s">
        <v>988</v>
      </c>
      <c r="D131" s="687">
        <v>40214</v>
      </c>
      <c r="E131" s="232" t="s">
        <v>603</v>
      </c>
    </row>
    <row r="132" spans="1:5" ht="17.25" customHeight="1">
      <c r="A132" s="688">
        <v>7130600032</v>
      </c>
      <c r="B132" s="686" t="s">
        <v>1441</v>
      </c>
      <c r="C132" s="683" t="s">
        <v>988</v>
      </c>
      <c r="D132" s="687">
        <v>40214</v>
      </c>
      <c r="E132" s="232" t="s">
        <v>604</v>
      </c>
    </row>
    <row r="133" spans="1:5" ht="17.25" customHeight="1">
      <c r="A133" s="688">
        <v>7130600051</v>
      </c>
      <c r="B133" s="686" t="s">
        <v>1166</v>
      </c>
      <c r="C133" s="683" t="s">
        <v>988</v>
      </c>
      <c r="D133" s="687">
        <v>40214</v>
      </c>
      <c r="E133" s="232" t="s">
        <v>605</v>
      </c>
    </row>
    <row r="134" spans="1:6" ht="25.5" hidden="1">
      <c r="A134" s="777">
        <v>7130600075</v>
      </c>
      <c r="B134" s="767" t="s">
        <v>646</v>
      </c>
      <c r="C134" s="762" t="s">
        <v>897</v>
      </c>
      <c r="D134" s="765" t="s">
        <v>1242</v>
      </c>
      <c r="E134" s="766" t="s">
        <v>606</v>
      </c>
      <c r="F134" s="773"/>
    </row>
    <row r="135" spans="1:5" ht="12.75">
      <c r="A135" s="683">
        <v>7130600166</v>
      </c>
      <c r="B135" s="686" t="s">
        <v>1438</v>
      </c>
      <c r="C135" s="683" t="s">
        <v>988</v>
      </c>
      <c r="D135" s="687">
        <v>40214</v>
      </c>
      <c r="E135" s="232" t="s">
        <v>607</v>
      </c>
    </row>
    <row r="136" spans="1:5" ht="12.75">
      <c r="A136" s="690">
        <v>7130600173</v>
      </c>
      <c r="B136" s="686" t="s">
        <v>1440</v>
      </c>
      <c r="C136" s="683" t="s">
        <v>988</v>
      </c>
      <c r="D136" s="687">
        <v>40214</v>
      </c>
      <c r="E136" s="232" t="s">
        <v>608</v>
      </c>
    </row>
    <row r="137" spans="1:5" ht="21" customHeight="1">
      <c r="A137" s="683">
        <v>7130600230</v>
      </c>
      <c r="B137" s="686" t="s">
        <v>1437</v>
      </c>
      <c r="C137" s="683" t="s">
        <v>988</v>
      </c>
      <c r="D137" s="687">
        <v>40214</v>
      </c>
      <c r="E137" s="232" t="s">
        <v>1301</v>
      </c>
    </row>
    <row r="138" spans="1:5" ht="22.5" customHeight="1">
      <c r="A138" s="683">
        <v>7130600495</v>
      </c>
      <c r="B138" s="686" t="s">
        <v>1439</v>
      </c>
      <c r="C138" s="683" t="s">
        <v>988</v>
      </c>
      <c r="D138" s="687">
        <v>40214</v>
      </c>
      <c r="E138" s="232" t="s">
        <v>1302</v>
      </c>
    </row>
    <row r="139" spans="1:5" ht="15" customHeight="1">
      <c r="A139" s="685">
        <v>7130600635</v>
      </c>
      <c r="B139" s="678" t="s">
        <v>993</v>
      </c>
      <c r="C139" s="679" t="s">
        <v>988</v>
      </c>
      <c r="D139" s="681">
        <v>44989</v>
      </c>
      <c r="E139" s="232" t="s">
        <v>1303</v>
      </c>
    </row>
    <row r="140" spans="1:5" ht="12.75" customHeight="1">
      <c r="A140" s="685">
        <v>7130600675</v>
      </c>
      <c r="B140" s="678" t="s">
        <v>992</v>
      </c>
      <c r="C140" s="679" t="s">
        <v>988</v>
      </c>
      <c r="D140" s="681">
        <v>44989</v>
      </c>
      <c r="E140" s="232" t="s">
        <v>1304</v>
      </c>
    </row>
    <row r="141" spans="1:5" ht="12.75">
      <c r="A141" s="685">
        <v>7130601070</v>
      </c>
      <c r="B141" s="689" t="s">
        <v>987</v>
      </c>
      <c r="C141" s="679" t="s">
        <v>988</v>
      </c>
      <c r="D141" s="681">
        <v>47741</v>
      </c>
      <c r="E141" s="232" t="s">
        <v>1305</v>
      </c>
    </row>
    <row r="142" spans="1:5" ht="12.75">
      <c r="A142" s="685">
        <v>7130601072</v>
      </c>
      <c r="B142" s="689" t="s">
        <v>989</v>
      </c>
      <c r="C142" s="679" t="s">
        <v>988</v>
      </c>
      <c r="D142" s="681">
        <v>47741</v>
      </c>
      <c r="E142" s="232" t="s">
        <v>1306</v>
      </c>
    </row>
    <row r="143" spans="1:5" ht="12.75">
      <c r="A143" s="685">
        <v>7130601958</v>
      </c>
      <c r="B143" s="678" t="s">
        <v>990</v>
      </c>
      <c r="C143" s="679" t="s">
        <v>988</v>
      </c>
      <c r="D143" s="681">
        <v>44989</v>
      </c>
      <c r="E143" s="232" t="s">
        <v>1307</v>
      </c>
    </row>
    <row r="144" spans="1:5" ht="12.75">
      <c r="A144" s="685">
        <v>7130601965</v>
      </c>
      <c r="B144" s="678" t="s">
        <v>991</v>
      </c>
      <c r="C144" s="679" t="s">
        <v>988</v>
      </c>
      <c r="D144" s="681">
        <v>44989</v>
      </c>
      <c r="E144" s="232" t="s">
        <v>1308</v>
      </c>
    </row>
    <row r="145" spans="1:5" ht="12.75">
      <c r="A145" s="688">
        <v>7130610206</v>
      </c>
      <c r="B145" s="686" t="s">
        <v>986</v>
      </c>
      <c r="C145" s="683" t="s">
        <v>988</v>
      </c>
      <c r="D145" s="687">
        <v>66528</v>
      </c>
      <c r="E145" s="232" t="s">
        <v>1309</v>
      </c>
    </row>
    <row r="146" spans="1:5" ht="15.75" customHeight="1">
      <c r="A146" s="688">
        <v>7130620013</v>
      </c>
      <c r="B146" s="686" t="s">
        <v>786</v>
      </c>
      <c r="C146" s="683" t="s">
        <v>26</v>
      </c>
      <c r="D146" s="687">
        <v>118</v>
      </c>
      <c r="E146" s="232" t="s">
        <v>1310</v>
      </c>
    </row>
    <row r="147" spans="1:5" ht="15.75" customHeight="1">
      <c r="A147" s="690">
        <v>7130620049</v>
      </c>
      <c r="B147" s="686" t="s">
        <v>678</v>
      </c>
      <c r="C147" s="683" t="s">
        <v>32</v>
      </c>
      <c r="D147" s="687">
        <v>64</v>
      </c>
      <c r="E147" s="232"/>
    </row>
    <row r="148" spans="1:5" ht="12.75">
      <c r="A148" s="683">
        <v>7130620133</v>
      </c>
      <c r="B148" s="686" t="s">
        <v>1017</v>
      </c>
      <c r="C148" s="683" t="s">
        <v>32</v>
      </c>
      <c r="D148" s="687">
        <v>89</v>
      </c>
      <c r="E148" s="232" t="s">
        <v>1311</v>
      </c>
    </row>
    <row r="149" spans="1:5" ht="15.75" customHeight="1">
      <c r="A149" s="683">
        <v>7130620140</v>
      </c>
      <c r="B149" s="686" t="s">
        <v>192</v>
      </c>
      <c r="C149" s="683" t="s">
        <v>32</v>
      </c>
      <c r="D149" s="687">
        <v>89</v>
      </c>
      <c r="E149" s="232" t="s">
        <v>1312</v>
      </c>
    </row>
    <row r="150" spans="1:5" ht="21" customHeight="1">
      <c r="A150" s="683">
        <v>7130620573</v>
      </c>
      <c r="B150" s="686" t="s">
        <v>1333</v>
      </c>
      <c r="C150" s="683" t="s">
        <v>32</v>
      </c>
      <c r="D150" s="687">
        <v>64</v>
      </c>
      <c r="E150" s="232" t="s">
        <v>543</v>
      </c>
    </row>
    <row r="151" spans="1:5" ht="17.25" customHeight="1">
      <c r="A151" s="688">
        <v>7130620575</v>
      </c>
      <c r="B151" s="686" t="s">
        <v>679</v>
      </c>
      <c r="C151" s="683" t="s">
        <v>32</v>
      </c>
      <c r="D151" s="687">
        <v>65</v>
      </c>
      <c r="E151" s="232" t="s">
        <v>544</v>
      </c>
    </row>
    <row r="152" spans="1:5" ht="17.25" customHeight="1">
      <c r="A152" s="688">
        <v>7130620577</v>
      </c>
      <c r="B152" s="686" t="s">
        <v>680</v>
      </c>
      <c r="C152" s="683" t="s">
        <v>32</v>
      </c>
      <c r="D152" s="687">
        <v>65</v>
      </c>
      <c r="E152" s="232" t="s">
        <v>545</v>
      </c>
    </row>
    <row r="153" spans="1:5" ht="16.5" customHeight="1">
      <c r="A153" s="688">
        <v>7130620609</v>
      </c>
      <c r="B153" s="686" t="s">
        <v>1017</v>
      </c>
      <c r="C153" s="683" t="s">
        <v>32</v>
      </c>
      <c r="D153" s="687">
        <v>64</v>
      </c>
      <c r="E153" s="232" t="s">
        <v>546</v>
      </c>
    </row>
    <row r="154" spans="1:5" ht="17.25" customHeight="1">
      <c r="A154" s="688">
        <v>7130620614</v>
      </c>
      <c r="B154" s="686" t="s">
        <v>192</v>
      </c>
      <c r="C154" s="683" t="s">
        <v>32</v>
      </c>
      <c r="D154" s="687">
        <v>63</v>
      </c>
      <c r="E154" s="232" t="s">
        <v>547</v>
      </c>
    </row>
    <row r="155" spans="1:5" ht="17.25" customHeight="1">
      <c r="A155" s="688">
        <v>7130620619</v>
      </c>
      <c r="B155" s="686" t="s">
        <v>193</v>
      </c>
      <c r="C155" s="683" t="s">
        <v>32</v>
      </c>
      <c r="D155" s="687">
        <v>63</v>
      </c>
      <c r="E155" s="232" t="s">
        <v>548</v>
      </c>
    </row>
    <row r="156" spans="1:5" ht="17.25" customHeight="1">
      <c r="A156" s="688">
        <v>7130620621</v>
      </c>
      <c r="B156" s="686" t="s">
        <v>681</v>
      </c>
      <c r="C156" s="683" t="s">
        <v>32</v>
      </c>
      <c r="D156" s="687">
        <v>62</v>
      </c>
      <c r="E156" s="232" t="s">
        <v>549</v>
      </c>
    </row>
    <row r="157" spans="1:5" ht="17.25" customHeight="1">
      <c r="A157" s="688">
        <v>7130620625</v>
      </c>
      <c r="B157" s="686" t="s">
        <v>194</v>
      </c>
      <c r="C157" s="683" t="s">
        <v>32</v>
      </c>
      <c r="D157" s="687">
        <v>62</v>
      </c>
      <c r="E157" s="232" t="s">
        <v>550</v>
      </c>
    </row>
    <row r="158" spans="1:5" ht="17.25" customHeight="1">
      <c r="A158" s="688">
        <v>7130620627</v>
      </c>
      <c r="B158" s="686" t="s">
        <v>195</v>
      </c>
      <c r="C158" s="683" t="s">
        <v>32</v>
      </c>
      <c r="D158" s="687">
        <v>62</v>
      </c>
      <c r="E158" s="232" t="s">
        <v>551</v>
      </c>
    </row>
    <row r="159" spans="1:5" ht="17.25" customHeight="1">
      <c r="A159" s="688">
        <v>7130620631</v>
      </c>
      <c r="B159" s="686" t="s">
        <v>196</v>
      </c>
      <c r="C159" s="683" t="s">
        <v>32</v>
      </c>
      <c r="D159" s="687">
        <v>62</v>
      </c>
      <c r="E159" s="232" t="s">
        <v>552</v>
      </c>
    </row>
    <row r="160" spans="1:5" ht="17.25" customHeight="1">
      <c r="A160" s="688">
        <v>7130620636</v>
      </c>
      <c r="B160" s="686" t="s">
        <v>683</v>
      </c>
      <c r="C160" s="683" t="s">
        <v>32</v>
      </c>
      <c r="D160" s="687">
        <v>62</v>
      </c>
      <c r="E160" s="232" t="s">
        <v>553</v>
      </c>
    </row>
    <row r="161" spans="1:5" ht="17.25" customHeight="1">
      <c r="A161" s="688">
        <v>7130620637</v>
      </c>
      <c r="B161" s="686" t="s">
        <v>682</v>
      </c>
      <c r="C161" s="683" t="s">
        <v>32</v>
      </c>
      <c r="D161" s="687">
        <v>62</v>
      </c>
      <c r="E161" s="232" t="s">
        <v>554</v>
      </c>
    </row>
    <row r="162" spans="1:5" ht="17.25" customHeight="1">
      <c r="A162" s="688">
        <v>7130620713</v>
      </c>
      <c r="B162" s="686" t="s">
        <v>684</v>
      </c>
      <c r="C162" s="683" t="s">
        <v>32</v>
      </c>
      <c r="D162" s="687">
        <v>62</v>
      </c>
      <c r="E162" s="232" t="s">
        <v>555</v>
      </c>
    </row>
    <row r="163" spans="1:5" ht="18.75" customHeight="1">
      <c r="A163" s="688">
        <v>7130620716</v>
      </c>
      <c r="B163" s="686" t="s">
        <v>685</v>
      </c>
      <c r="C163" s="683" t="s">
        <v>32</v>
      </c>
      <c r="D163" s="687">
        <v>62</v>
      </c>
      <c r="E163" s="232" t="s">
        <v>556</v>
      </c>
    </row>
    <row r="164" spans="1:8" ht="18.75" customHeight="1">
      <c r="A164" s="688">
        <v>7130620719</v>
      </c>
      <c r="B164" s="686" t="s">
        <v>686</v>
      </c>
      <c r="C164" s="683" t="s">
        <v>32</v>
      </c>
      <c r="D164" s="687">
        <v>62</v>
      </c>
      <c r="E164" s="232" t="s">
        <v>557</v>
      </c>
      <c r="G164" s="38"/>
      <c r="H164" s="38"/>
    </row>
    <row r="165" spans="1:8" ht="18.75" customHeight="1">
      <c r="A165" s="688">
        <v>7130620829</v>
      </c>
      <c r="B165" s="686" t="s">
        <v>687</v>
      </c>
      <c r="C165" s="683" t="s">
        <v>32</v>
      </c>
      <c r="D165" s="687">
        <v>62</v>
      </c>
      <c r="E165" s="232" t="s">
        <v>558</v>
      </c>
      <c r="G165" s="38"/>
      <c r="H165" s="38"/>
    </row>
    <row r="166" spans="1:8" ht="18.75" customHeight="1">
      <c r="A166" s="688">
        <v>7130621892</v>
      </c>
      <c r="B166" s="686" t="s">
        <v>787</v>
      </c>
      <c r="C166" s="683" t="s">
        <v>26</v>
      </c>
      <c r="D166" s="687">
        <v>395</v>
      </c>
      <c r="E166" s="232" t="s">
        <v>559</v>
      </c>
      <c r="G166" s="38"/>
      <c r="H166" s="38"/>
    </row>
    <row r="167" spans="1:5" ht="25.5" customHeight="1">
      <c r="A167" s="675">
        <v>7130622922</v>
      </c>
      <c r="B167" s="691" t="s">
        <v>688</v>
      </c>
      <c r="C167" s="683" t="s">
        <v>32</v>
      </c>
      <c r="D167" s="687">
        <v>127</v>
      </c>
      <c r="E167" s="232" t="s">
        <v>560</v>
      </c>
    </row>
    <row r="168" spans="1:5" ht="25.5">
      <c r="A168" s="692">
        <v>7130640027</v>
      </c>
      <c r="B168" s="703" t="s">
        <v>181</v>
      </c>
      <c r="C168" s="711" t="s">
        <v>610</v>
      </c>
      <c r="D168" s="687">
        <v>929</v>
      </c>
      <c r="E168" s="232" t="s">
        <v>561</v>
      </c>
    </row>
    <row r="169" spans="1:5" ht="20.25" customHeight="1">
      <c r="A169" s="692">
        <v>7130640028</v>
      </c>
      <c r="B169" s="703" t="s">
        <v>1004</v>
      </c>
      <c r="C169" s="711" t="s">
        <v>695</v>
      </c>
      <c r="D169" s="687">
        <v>805</v>
      </c>
      <c r="E169" s="232" t="s">
        <v>562</v>
      </c>
    </row>
    <row r="170" spans="1:5" ht="25.5">
      <c r="A170" s="690">
        <v>7130640029</v>
      </c>
      <c r="B170" s="703" t="s">
        <v>182</v>
      </c>
      <c r="C170" s="711" t="s">
        <v>28</v>
      </c>
      <c r="D170" s="687">
        <v>3220</v>
      </c>
      <c r="E170" s="232" t="s">
        <v>563</v>
      </c>
    </row>
    <row r="171" spans="1:5" ht="12.75">
      <c r="A171" s="692">
        <v>7130640030</v>
      </c>
      <c r="B171" s="676" t="s">
        <v>21</v>
      </c>
      <c r="C171" s="675" t="s">
        <v>897</v>
      </c>
      <c r="D171" s="695">
        <v>3857</v>
      </c>
      <c r="E171" s="232"/>
    </row>
    <row r="172" spans="1:5" ht="12.75">
      <c r="A172" s="692">
        <v>7130640036</v>
      </c>
      <c r="B172" s="676" t="s">
        <v>22</v>
      </c>
      <c r="C172" s="675" t="s">
        <v>897</v>
      </c>
      <c r="D172" s="695">
        <v>7661</v>
      </c>
      <c r="E172" s="232" t="s">
        <v>564</v>
      </c>
    </row>
    <row r="173" spans="1:5" ht="25.5">
      <c r="A173" s="692">
        <v>7130640037</v>
      </c>
      <c r="B173" s="691" t="s">
        <v>183</v>
      </c>
      <c r="C173" s="683" t="s">
        <v>160</v>
      </c>
      <c r="D173" s="695">
        <v>918</v>
      </c>
      <c r="E173" s="232" t="s">
        <v>565</v>
      </c>
    </row>
    <row r="174" spans="1:5" ht="18.75" customHeight="1">
      <c r="A174" s="675">
        <v>7130641396</v>
      </c>
      <c r="B174" s="691" t="s">
        <v>689</v>
      </c>
      <c r="C174" s="675" t="s">
        <v>690</v>
      </c>
      <c r="D174" s="695">
        <v>190</v>
      </c>
      <c r="E174" s="232" t="s">
        <v>566</v>
      </c>
    </row>
    <row r="175" spans="1:5" ht="51">
      <c r="A175" s="706">
        <v>7130642039</v>
      </c>
      <c r="B175" s="686" t="s">
        <v>592</v>
      </c>
      <c r="C175" s="683" t="s">
        <v>26</v>
      </c>
      <c r="D175" s="687">
        <v>820</v>
      </c>
      <c r="E175" s="232" t="s">
        <v>567</v>
      </c>
    </row>
    <row r="176" spans="1:5" ht="25.5">
      <c r="A176" s="706">
        <v>7130642041</v>
      </c>
      <c r="B176" s="686" t="s">
        <v>843</v>
      </c>
      <c r="C176" s="683" t="s">
        <v>26</v>
      </c>
      <c r="D176" s="687">
        <v>4169</v>
      </c>
      <c r="E176" s="232" t="s">
        <v>568</v>
      </c>
    </row>
    <row r="177" spans="1:5" ht="80.25" customHeight="1">
      <c r="A177" s="692">
        <v>7130650001</v>
      </c>
      <c r="B177" s="691" t="s">
        <v>805</v>
      </c>
      <c r="C177" s="675" t="s">
        <v>806</v>
      </c>
      <c r="D177" s="695">
        <v>1131</v>
      </c>
      <c r="E177" s="141"/>
    </row>
    <row r="178" spans="1:5" ht="27" customHeight="1">
      <c r="A178" s="692">
        <v>7130670027</v>
      </c>
      <c r="B178" s="694" t="s">
        <v>1429</v>
      </c>
      <c r="C178" s="675" t="s">
        <v>695</v>
      </c>
      <c r="D178" s="695">
        <v>119</v>
      </c>
      <c r="E178" s="141"/>
    </row>
    <row r="179" spans="1:5" ht="41.25" customHeight="1">
      <c r="A179" s="692">
        <v>7130797532</v>
      </c>
      <c r="B179" s="691" t="s">
        <v>1443</v>
      </c>
      <c r="C179" s="675" t="s">
        <v>695</v>
      </c>
      <c r="D179" s="695">
        <v>599</v>
      </c>
      <c r="E179" s="232" t="s">
        <v>569</v>
      </c>
    </row>
    <row r="180" spans="1:5" ht="41.25" customHeight="1">
      <c r="A180" s="692">
        <v>7130797533</v>
      </c>
      <c r="B180" s="691" t="s">
        <v>1215</v>
      </c>
      <c r="C180" s="675" t="s">
        <v>695</v>
      </c>
      <c r="D180" s="695">
        <v>435</v>
      </c>
      <c r="E180" s="232" t="s">
        <v>570</v>
      </c>
    </row>
    <row r="181" spans="1:6" ht="27" customHeight="1" hidden="1">
      <c r="A181" s="764">
        <v>7130797533</v>
      </c>
      <c r="B181" s="763" t="s">
        <v>860</v>
      </c>
      <c r="C181" s="764" t="s">
        <v>897</v>
      </c>
      <c r="D181" s="765" t="s">
        <v>1242</v>
      </c>
      <c r="E181" s="766" t="s">
        <v>570</v>
      </c>
      <c r="F181" s="778"/>
    </row>
    <row r="182" spans="1:5" ht="15" customHeight="1">
      <c r="A182" s="688">
        <v>7130800012</v>
      </c>
      <c r="B182" s="686" t="s">
        <v>994</v>
      </c>
      <c r="C182" s="683" t="s">
        <v>897</v>
      </c>
      <c r="D182" s="687">
        <v>1654</v>
      </c>
      <c r="E182" s="232" t="s">
        <v>571</v>
      </c>
    </row>
    <row r="183" spans="1:5" ht="15" customHeight="1">
      <c r="A183" s="692">
        <v>7130800014</v>
      </c>
      <c r="B183" s="691" t="s">
        <v>724</v>
      </c>
      <c r="C183" s="675" t="s">
        <v>897</v>
      </c>
      <c r="D183" s="695">
        <v>6408</v>
      </c>
      <c r="E183" s="232"/>
    </row>
    <row r="184" spans="1:5" ht="15" customHeight="1">
      <c r="A184" s="688">
        <v>7130800033</v>
      </c>
      <c r="B184" s="686" t="s">
        <v>1435</v>
      </c>
      <c r="C184" s="683" t="s">
        <v>897</v>
      </c>
      <c r="D184" s="687">
        <v>3129</v>
      </c>
      <c r="E184" s="232" t="s">
        <v>572</v>
      </c>
    </row>
    <row r="185" spans="1:5" ht="15.75" customHeight="1">
      <c r="A185" s="675">
        <v>7130800068</v>
      </c>
      <c r="B185" s="691" t="s">
        <v>723</v>
      </c>
      <c r="C185" s="675" t="s">
        <v>897</v>
      </c>
      <c r="D185" s="695">
        <v>10737</v>
      </c>
      <c r="E185" s="232" t="s">
        <v>573</v>
      </c>
    </row>
    <row r="186" spans="1:5" ht="17.25" customHeight="1">
      <c r="A186" s="688">
        <v>7130800672</v>
      </c>
      <c r="B186" s="686" t="s">
        <v>1436</v>
      </c>
      <c r="C186" s="683" t="s">
        <v>897</v>
      </c>
      <c r="D186" s="687">
        <v>2851</v>
      </c>
      <c r="E186" s="232" t="s">
        <v>574</v>
      </c>
    </row>
    <row r="187" spans="1:5" ht="18" customHeight="1">
      <c r="A187" s="688">
        <v>7130810005</v>
      </c>
      <c r="B187" s="686" t="s">
        <v>788</v>
      </c>
      <c r="C187" s="683" t="s">
        <v>26</v>
      </c>
      <c r="D187" s="687">
        <v>83</v>
      </c>
      <c r="E187" s="232" t="s">
        <v>575</v>
      </c>
    </row>
    <row r="188" spans="1:5" ht="15.75" customHeight="1">
      <c r="A188" s="688">
        <v>7130810006</v>
      </c>
      <c r="B188" s="686" t="s">
        <v>576</v>
      </c>
      <c r="C188" s="683" t="s">
        <v>1012</v>
      </c>
      <c r="D188" s="687">
        <v>6808</v>
      </c>
      <c r="E188" s="232" t="s">
        <v>576</v>
      </c>
    </row>
    <row r="189" spans="1:5" ht="16.5" customHeight="1">
      <c r="A189" s="688">
        <v>7130810026</v>
      </c>
      <c r="B189" s="686" t="s">
        <v>789</v>
      </c>
      <c r="C189" s="683" t="s">
        <v>1009</v>
      </c>
      <c r="D189" s="687">
        <v>142</v>
      </c>
      <c r="E189" s="232" t="s">
        <v>577</v>
      </c>
    </row>
    <row r="190" spans="1:5" ht="15.75" customHeight="1">
      <c r="A190" s="688">
        <v>7130810026</v>
      </c>
      <c r="B190" s="686" t="s">
        <v>790</v>
      </c>
      <c r="C190" s="683" t="s">
        <v>1009</v>
      </c>
      <c r="D190" s="687">
        <v>265</v>
      </c>
      <c r="E190" s="232" t="s">
        <v>577</v>
      </c>
    </row>
    <row r="191" spans="1:5" ht="15" customHeight="1">
      <c r="A191" s="688">
        <v>7130810060</v>
      </c>
      <c r="B191" s="686" t="s">
        <v>578</v>
      </c>
      <c r="C191" s="683" t="s">
        <v>1013</v>
      </c>
      <c r="D191" s="687">
        <v>71</v>
      </c>
      <c r="E191" s="232" t="s">
        <v>578</v>
      </c>
    </row>
    <row r="192" spans="1:5" ht="14.25" customHeight="1">
      <c r="A192" s="692">
        <v>7130810076</v>
      </c>
      <c r="B192" s="686" t="s">
        <v>808</v>
      </c>
      <c r="C192" s="683" t="s">
        <v>1013</v>
      </c>
      <c r="D192" s="687">
        <v>68</v>
      </c>
      <c r="E192" s="232" t="s">
        <v>791</v>
      </c>
    </row>
    <row r="193" spans="1:5" ht="15.75" customHeight="1">
      <c r="A193" s="692">
        <v>7130810077</v>
      </c>
      <c r="B193" s="703" t="s">
        <v>796</v>
      </c>
      <c r="C193" s="704" t="s">
        <v>1013</v>
      </c>
      <c r="D193" s="687">
        <v>394</v>
      </c>
      <c r="E193" s="232" t="s">
        <v>579</v>
      </c>
    </row>
    <row r="194" spans="1:5" ht="16.5" customHeight="1">
      <c r="A194" s="675">
        <v>7130810102</v>
      </c>
      <c r="B194" s="691" t="s">
        <v>1020</v>
      </c>
      <c r="C194" s="704" t="s">
        <v>1013</v>
      </c>
      <c r="D194" s="687">
        <v>349</v>
      </c>
      <c r="E194" s="232" t="s">
        <v>580</v>
      </c>
    </row>
    <row r="195" spans="1:5" ht="14.25" customHeight="1">
      <c r="A195" s="675">
        <v>7130810193</v>
      </c>
      <c r="B195" s="691" t="s">
        <v>512</v>
      </c>
      <c r="C195" s="704" t="s">
        <v>1009</v>
      </c>
      <c r="D195" s="687">
        <v>265</v>
      </c>
      <c r="E195" s="232" t="s">
        <v>581</v>
      </c>
    </row>
    <row r="196" spans="1:5" ht="15" customHeight="1">
      <c r="A196" s="675">
        <v>7130810201</v>
      </c>
      <c r="B196" s="691" t="s">
        <v>513</v>
      </c>
      <c r="C196" s="704" t="s">
        <v>1009</v>
      </c>
      <c r="D196" s="687">
        <v>282</v>
      </c>
      <c r="E196" s="232" t="s">
        <v>582</v>
      </c>
    </row>
    <row r="197" spans="1:5" ht="18" customHeight="1">
      <c r="A197" s="675">
        <v>7130810216</v>
      </c>
      <c r="B197" s="691" t="s">
        <v>514</v>
      </c>
      <c r="C197" s="704" t="s">
        <v>1009</v>
      </c>
      <c r="D197" s="687">
        <v>282</v>
      </c>
      <c r="E197" s="232" t="s">
        <v>393</v>
      </c>
    </row>
    <row r="198" spans="1:5" ht="17.25" customHeight="1">
      <c r="A198" s="675">
        <v>7130810251</v>
      </c>
      <c r="B198" s="691" t="s">
        <v>515</v>
      </c>
      <c r="C198" s="704" t="s">
        <v>1009</v>
      </c>
      <c r="D198" s="687">
        <v>282</v>
      </c>
      <c r="E198" s="232" t="s">
        <v>394</v>
      </c>
    </row>
    <row r="199" spans="1:5" ht="17.25" customHeight="1">
      <c r="A199" s="675">
        <v>7130810361</v>
      </c>
      <c r="B199" s="691" t="s">
        <v>516</v>
      </c>
      <c r="C199" s="704" t="s">
        <v>1009</v>
      </c>
      <c r="D199" s="687">
        <v>282</v>
      </c>
      <c r="E199" s="232" t="s">
        <v>395</v>
      </c>
    </row>
    <row r="200" spans="1:5" ht="17.25" customHeight="1">
      <c r="A200" s="675">
        <v>7130810413</v>
      </c>
      <c r="B200" s="691" t="s">
        <v>517</v>
      </c>
      <c r="C200" s="704" t="s">
        <v>1013</v>
      </c>
      <c r="D200" s="687">
        <v>618</v>
      </c>
      <c r="E200" s="232" t="s">
        <v>396</v>
      </c>
    </row>
    <row r="201" spans="1:5" ht="17.25" customHeight="1">
      <c r="A201" s="675">
        <v>7130810441</v>
      </c>
      <c r="B201" s="691" t="s">
        <v>518</v>
      </c>
      <c r="C201" s="704" t="s">
        <v>1013</v>
      </c>
      <c r="D201" s="687">
        <v>736</v>
      </c>
      <c r="E201" s="232" t="s">
        <v>397</v>
      </c>
    </row>
    <row r="202" spans="1:5" ht="17.25" customHeight="1">
      <c r="A202" s="675">
        <v>7130810461</v>
      </c>
      <c r="B202" s="691" t="s">
        <v>519</v>
      </c>
      <c r="C202" s="704" t="s">
        <v>1013</v>
      </c>
      <c r="D202" s="687">
        <v>854</v>
      </c>
      <c r="E202" s="232" t="s">
        <v>398</v>
      </c>
    </row>
    <row r="203" spans="1:5" ht="17.25" customHeight="1">
      <c r="A203" s="675">
        <v>7130810495</v>
      </c>
      <c r="B203" s="691" t="s">
        <v>520</v>
      </c>
      <c r="C203" s="704" t="s">
        <v>1013</v>
      </c>
      <c r="D203" s="687">
        <v>1048</v>
      </c>
      <c r="E203" s="232" t="s">
        <v>399</v>
      </c>
    </row>
    <row r="204" spans="1:5" ht="17.25" customHeight="1">
      <c r="A204" s="675">
        <v>7130810509</v>
      </c>
      <c r="B204" s="691" t="s">
        <v>521</v>
      </c>
      <c r="C204" s="704" t="s">
        <v>1013</v>
      </c>
      <c r="D204" s="687">
        <v>7845</v>
      </c>
      <c r="E204" s="232" t="s">
        <v>400</v>
      </c>
    </row>
    <row r="205" spans="1:5" ht="17.25" customHeight="1">
      <c r="A205" s="675">
        <v>7130810509</v>
      </c>
      <c r="B205" s="691" t="s">
        <v>523</v>
      </c>
      <c r="C205" s="704" t="s">
        <v>1013</v>
      </c>
      <c r="D205" s="687">
        <v>3322</v>
      </c>
      <c r="E205" s="232" t="s">
        <v>400</v>
      </c>
    </row>
    <row r="206" spans="1:5" ht="17.25" customHeight="1">
      <c r="A206" s="675">
        <v>7130810511</v>
      </c>
      <c r="B206" s="691" t="s">
        <v>522</v>
      </c>
      <c r="C206" s="704" t="s">
        <v>1012</v>
      </c>
      <c r="D206" s="687">
        <v>2485</v>
      </c>
      <c r="E206" s="232" t="s">
        <v>401</v>
      </c>
    </row>
    <row r="207" spans="1:5" ht="26.25" customHeight="1">
      <c r="A207" s="675">
        <v>7130810512</v>
      </c>
      <c r="B207" s="691" t="s">
        <v>524</v>
      </c>
      <c r="C207" s="704" t="s">
        <v>1012</v>
      </c>
      <c r="D207" s="687">
        <v>3940</v>
      </c>
      <c r="E207" s="232" t="s">
        <v>402</v>
      </c>
    </row>
    <row r="208" spans="1:5" ht="25.5">
      <c r="A208" s="675">
        <v>7130810512</v>
      </c>
      <c r="B208" s="691" t="s">
        <v>525</v>
      </c>
      <c r="C208" s="704" t="s">
        <v>1012</v>
      </c>
      <c r="D208" s="687">
        <v>2862</v>
      </c>
      <c r="E208" s="232" t="s">
        <v>402</v>
      </c>
    </row>
    <row r="209" spans="1:5" ht="25.5">
      <c r="A209" s="675">
        <v>7130810512</v>
      </c>
      <c r="B209" s="691" t="s">
        <v>526</v>
      </c>
      <c r="C209" s="704" t="s">
        <v>1012</v>
      </c>
      <c r="D209" s="687">
        <v>4022</v>
      </c>
      <c r="E209" s="232" t="s">
        <v>402</v>
      </c>
    </row>
    <row r="210" spans="1:5" ht="25.5">
      <c r="A210" s="675">
        <v>7130810517</v>
      </c>
      <c r="B210" s="691" t="s">
        <v>527</v>
      </c>
      <c r="C210" s="704" t="s">
        <v>1012</v>
      </c>
      <c r="D210" s="687">
        <v>4547</v>
      </c>
      <c r="E210" s="232" t="s">
        <v>1053</v>
      </c>
    </row>
    <row r="211" spans="1:5" ht="17.25" customHeight="1">
      <c r="A211" s="675">
        <v>7130810595</v>
      </c>
      <c r="B211" s="691" t="s">
        <v>528</v>
      </c>
      <c r="C211" s="704" t="s">
        <v>1013</v>
      </c>
      <c r="D211" s="687">
        <v>2332</v>
      </c>
      <c r="E211" s="232" t="s">
        <v>1054</v>
      </c>
    </row>
    <row r="212" spans="1:5" ht="26.25" customHeight="1">
      <c r="A212" s="675">
        <v>7130810608</v>
      </c>
      <c r="B212" s="691" t="s">
        <v>529</v>
      </c>
      <c r="C212" s="704" t="s">
        <v>1012</v>
      </c>
      <c r="D212" s="687">
        <v>5377</v>
      </c>
      <c r="E212" s="232" t="s">
        <v>82</v>
      </c>
    </row>
    <row r="213" spans="1:5" ht="17.25" customHeight="1">
      <c r="A213" s="675">
        <v>7130810624</v>
      </c>
      <c r="B213" s="691" t="s">
        <v>611</v>
      </c>
      <c r="C213" s="704" t="s">
        <v>1013</v>
      </c>
      <c r="D213" s="687">
        <v>90</v>
      </c>
      <c r="E213" s="232" t="s">
        <v>83</v>
      </c>
    </row>
    <row r="214" spans="1:5" ht="12.75">
      <c r="A214" s="675">
        <v>7130810624</v>
      </c>
      <c r="B214" s="691" t="s">
        <v>20</v>
      </c>
      <c r="C214" s="704" t="s">
        <v>1012</v>
      </c>
      <c r="D214" s="715">
        <v>94</v>
      </c>
      <c r="E214" s="232" t="s">
        <v>83</v>
      </c>
    </row>
    <row r="215" spans="1:5" ht="12.75" customHeight="1">
      <c r="A215" s="675">
        <v>7130810676</v>
      </c>
      <c r="B215" s="691" t="s">
        <v>530</v>
      </c>
      <c r="C215" s="704" t="s">
        <v>1013</v>
      </c>
      <c r="D215" s="715">
        <v>388</v>
      </c>
      <c r="E215" s="232" t="s">
        <v>84</v>
      </c>
    </row>
    <row r="216" spans="1:5" ht="25.5">
      <c r="A216" s="675">
        <v>7130810679</v>
      </c>
      <c r="B216" s="691" t="s">
        <v>531</v>
      </c>
      <c r="C216" s="704" t="s">
        <v>1013</v>
      </c>
      <c r="D216" s="715">
        <v>294</v>
      </c>
      <c r="E216" s="232" t="s">
        <v>85</v>
      </c>
    </row>
    <row r="217" spans="1:5" ht="25.5">
      <c r="A217" s="675">
        <v>7130810681</v>
      </c>
      <c r="B217" s="691" t="s">
        <v>81</v>
      </c>
      <c r="C217" s="704" t="s">
        <v>1012</v>
      </c>
      <c r="D217" s="715">
        <v>3227</v>
      </c>
      <c r="E217" s="232" t="s">
        <v>86</v>
      </c>
    </row>
    <row r="218" spans="1:5" ht="12.75">
      <c r="A218" s="675">
        <v>7130810684</v>
      </c>
      <c r="B218" s="691" t="s">
        <v>645</v>
      </c>
      <c r="C218" s="704" t="s">
        <v>1013</v>
      </c>
      <c r="D218" s="715">
        <v>8457</v>
      </c>
      <c r="E218" s="232" t="s">
        <v>87</v>
      </c>
    </row>
    <row r="219" spans="1:5" ht="12.75">
      <c r="A219" s="675">
        <v>7130810692</v>
      </c>
      <c r="B219" s="691" t="s">
        <v>532</v>
      </c>
      <c r="C219" s="704" t="s">
        <v>1009</v>
      </c>
      <c r="D219" s="715">
        <v>294</v>
      </c>
      <c r="E219" s="232" t="s">
        <v>88</v>
      </c>
    </row>
    <row r="220" spans="1:5" ht="12.75">
      <c r="A220" s="692">
        <v>7130820008</v>
      </c>
      <c r="B220" s="691" t="s">
        <v>2</v>
      </c>
      <c r="C220" s="687" t="s">
        <v>897</v>
      </c>
      <c r="D220" s="687">
        <v>157</v>
      </c>
      <c r="E220" s="232" t="s">
        <v>89</v>
      </c>
    </row>
    <row r="221" spans="1:5" ht="12.75">
      <c r="A221" s="692">
        <v>7130820009</v>
      </c>
      <c r="B221" s="691" t="s">
        <v>1</v>
      </c>
      <c r="C221" s="687" t="s">
        <v>897</v>
      </c>
      <c r="D221" s="687">
        <v>388</v>
      </c>
      <c r="E221" s="232" t="s">
        <v>90</v>
      </c>
    </row>
    <row r="222" spans="1:5" ht="12.75">
      <c r="A222" s="692">
        <v>7130820010</v>
      </c>
      <c r="B222" s="691" t="s">
        <v>781</v>
      </c>
      <c r="C222" s="687" t="s">
        <v>897</v>
      </c>
      <c r="D222" s="687">
        <v>140</v>
      </c>
      <c r="E222" s="232" t="s">
        <v>91</v>
      </c>
    </row>
    <row r="223" spans="1:5" ht="12.75">
      <c r="A223" s="692">
        <v>7130820011</v>
      </c>
      <c r="B223" s="691" t="s">
        <v>0</v>
      </c>
      <c r="C223" s="687" t="s">
        <v>897</v>
      </c>
      <c r="D223" s="687">
        <v>354</v>
      </c>
      <c r="E223" s="232" t="s">
        <v>92</v>
      </c>
    </row>
    <row r="224" spans="1:5" ht="16.5" customHeight="1">
      <c r="A224" s="688">
        <v>7130820018</v>
      </c>
      <c r="B224" s="686" t="s">
        <v>218</v>
      </c>
      <c r="C224" s="683" t="s">
        <v>1009</v>
      </c>
      <c r="D224" s="687">
        <v>3</v>
      </c>
      <c r="E224" s="232" t="s">
        <v>93</v>
      </c>
    </row>
    <row r="225" spans="1:5" ht="16.5" customHeight="1">
      <c r="A225" s="690">
        <v>7130820026</v>
      </c>
      <c r="B225" s="686" t="s">
        <v>213</v>
      </c>
      <c r="C225" s="683" t="s">
        <v>695</v>
      </c>
      <c r="D225" s="687">
        <v>412</v>
      </c>
      <c r="E225" s="232" t="s">
        <v>94</v>
      </c>
    </row>
    <row r="226" spans="1:5" ht="16.5" customHeight="1">
      <c r="A226" s="690">
        <v>7130820027</v>
      </c>
      <c r="B226" s="686" t="s">
        <v>214</v>
      </c>
      <c r="C226" s="683" t="s">
        <v>695</v>
      </c>
      <c r="D226" s="687">
        <v>1907</v>
      </c>
      <c r="E226" s="232" t="s">
        <v>95</v>
      </c>
    </row>
    <row r="227" spans="1:5" ht="16.5" customHeight="1">
      <c r="A227" s="701">
        <v>7130820029</v>
      </c>
      <c r="B227" s="694" t="s">
        <v>486</v>
      </c>
      <c r="C227" s="675" t="s">
        <v>897</v>
      </c>
      <c r="D227" s="700">
        <v>31</v>
      </c>
      <c r="E227" s="232"/>
    </row>
    <row r="228" spans="1:5" ht="16.5" customHeight="1">
      <c r="A228" s="688">
        <v>7130820030</v>
      </c>
      <c r="B228" s="686" t="s">
        <v>210</v>
      </c>
      <c r="C228" s="683" t="s">
        <v>897</v>
      </c>
      <c r="D228" s="687">
        <v>231</v>
      </c>
      <c r="E228" s="232" t="s">
        <v>96</v>
      </c>
    </row>
    <row r="229" spans="1:5" ht="17.25" customHeight="1">
      <c r="A229" s="688">
        <v>7130820071</v>
      </c>
      <c r="B229" s="686" t="s">
        <v>211</v>
      </c>
      <c r="C229" s="683" t="s">
        <v>897</v>
      </c>
      <c r="D229" s="687">
        <v>40</v>
      </c>
      <c r="E229" s="232" t="s">
        <v>1298</v>
      </c>
    </row>
    <row r="230" spans="1:5" ht="17.25" customHeight="1">
      <c r="A230" s="688">
        <v>7130820075</v>
      </c>
      <c r="B230" s="686" t="s">
        <v>212</v>
      </c>
      <c r="C230" s="683" t="s">
        <v>897</v>
      </c>
      <c r="D230" s="687">
        <v>230</v>
      </c>
      <c r="E230" s="232" t="s">
        <v>1299</v>
      </c>
    </row>
    <row r="231" spans="1:5" ht="18" customHeight="1">
      <c r="A231" s="688">
        <v>7130820101</v>
      </c>
      <c r="B231" s="686" t="s">
        <v>216</v>
      </c>
      <c r="C231" s="683" t="s">
        <v>897</v>
      </c>
      <c r="D231" s="687">
        <v>9</v>
      </c>
      <c r="E231" s="232" t="s">
        <v>1300</v>
      </c>
    </row>
    <row r="232" spans="1:5" ht="18" customHeight="1">
      <c r="A232" s="688">
        <v>7130820106</v>
      </c>
      <c r="B232" s="686" t="s">
        <v>215</v>
      </c>
      <c r="C232" s="683" t="s">
        <v>897</v>
      </c>
      <c r="D232" s="687">
        <v>10</v>
      </c>
      <c r="E232" s="232" t="s">
        <v>1024</v>
      </c>
    </row>
    <row r="233" spans="1:5" ht="18" customHeight="1">
      <c r="A233" s="688">
        <v>7130820117</v>
      </c>
      <c r="B233" s="686" t="s">
        <v>217</v>
      </c>
      <c r="C233" s="683" t="s">
        <v>897</v>
      </c>
      <c r="D233" s="687">
        <v>9</v>
      </c>
      <c r="E233" s="232" t="s">
        <v>1025</v>
      </c>
    </row>
    <row r="234" spans="1:5" ht="18" customHeight="1">
      <c r="A234" s="688">
        <v>7130820155</v>
      </c>
      <c r="B234" s="686" t="s">
        <v>584</v>
      </c>
      <c r="C234" s="683" t="s">
        <v>897</v>
      </c>
      <c r="D234" s="687">
        <v>60</v>
      </c>
      <c r="E234" s="232" t="s">
        <v>1026</v>
      </c>
    </row>
    <row r="235" spans="1:5" ht="18" customHeight="1">
      <c r="A235" s="688">
        <v>7130820158</v>
      </c>
      <c r="B235" s="686" t="s">
        <v>585</v>
      </c>
      <c r="C235" s="683" t="s">
        <v>897</v>
      </c>
      <c r="D235" s="687">
        <v>199</v>
      </c>
      <c r="E235" s="232" t="s">
        <v>1027</v>
      </c>
    </row>
    <row r="236" spans="1:5" ht="18" customHeight="1">
      <c r="A236" s="688">
        <v>7130820201</v>
      </c>
      <c r="B236" s="686" t="s">
        <v>882</v>
      </c>
      <c r="C236" s="683" t="s">
        <v>897</v>
      </c>
      <c r="D236" s="687">
        <v>32</v>
      </c>
      <c r="E236" s="232" t="s">
        <v>1028</v>
      </c>
    </row>
    <row r="237" spans="1:5" ht="18" customHeight="1">
      <c r="A237" s="688">
        <v>7130820206</v>
      </c>
      <c r="B237" s="678" t="s">
        <v>583</v>
      </c>
      <c r="C237" s="683" t="s">
        <v>897</v>
      </c>
      <c r="D237" s="687">
        <v>30</v>
      </c>
      <c r="E237" s="232" t="s">
        <v>1029</v>
      </c>
    </row>
    <row r="238" spans="1:5" ht="18" customHeight="1">
      <c r="A238" s="688">
        <v>7130820216</v>
      </c>
      <c r="B238" s="678" t="s">
        <v>1375</v>
      </c>
      <c r="C238" s="683" t="s">
        <v>897</v>
      </c>
      <c r="D238" s="687">
        <v>34</v>
      </c>
      <c r="E238" s="232" t="s">
        <v>1030</v>
      </c>
    </row>
    <row r="239" spans="1:5" ht="18" customHeight="1">
      <c r="A239" s="688">
        <v>7130820241</v>
      </c>
      <c r="B239" s="686" t="s">
        <v>3</v>
      </c>
      <c r="C239" s="683" t="s">
        <v>897</v>
      </c>
      <c r="D239" s="687">
        <v>123</v>
      </c>
      <c r="E239" s="232" t="s">
        <v>1031</v>
      </c>
    </row>
    <row r="240" spans="1:5" ht="18" customHeight="1">
      <c r="A240" s="688">
        <v>7130820248</v>
      </c>
      <c r="B240" s="686" t="s">
        <v>4</v>
      </c>
      <c r="C240" s="683" t="s">
        <v>897</v>
      </c>
      <c r="D240" s="687">
        <v>255</v>
      </c>
      <c r="E240" s="232" t="s">
        <v>1032</v>
      </c>
    </row>
    <row r="241" spans="1:5" ht="28.5" customHeight="1">
      <c r="A241" s="693">
        <v>7130820312</v>
      </c>
      <c r="B241" s="686" t="s">
        <v>759</v>
      </c>
      <c r="C241" s="683" t="s">
        <v>1012</v>
      </c>
      <c r="D241" s="687">
        <v>2183</v>
      </c>
      <c r="E241" s="232" t="s">
        <v>1033</v>
      </c>
    </row>
    <row r="242" spans="1:5" ht="19.5" customHeight="1">
      <c r="A242" s="688">
        <v>7130830006</v>
      </c>
      <c r="B242" s="686" t="s">
        <v>881</v>
      </c>
      <c r="C242" s="683" t="s">
        <v>32</v>
      </c>
      <c r="D242" s="687">
        <v>139</v>
      </c>
      <c r="E242" s="232" t="s">
        <v>352</v>
      </c>
    </row>
    <row r="243" spans="1:5" ht="29.25" customHeight="1">
      <c r="A243" s="688">
        <v>7130830025</v>
      </c>
      <c r="B243" s="686" t="s">
        <v>207</v>
      </c>
      <c r="C243" s="683" t="s">
        <v>1018</v>
      </c>
      <c r="D243" s="687">
        <v>11084</v>
      </c>
      <c r="E243" s="232" t="s">
        <v>353</v>
      </c>
    </row>
    <row r="244" spans="1:5" ht="28.5" customHeight="1">
      <c r="A244" s="688">
        <v>7130830026</v>
      </c>
      <c r="B244" s="686" t="s">
        <v>208</v>
      </c>
      <c r="C244" s="683" t="s">
        <v>1018</v>
      </c>
      <c r="D244" s="687">
        <v>17295</v>
      </c>
      <c r="E244" s="232" t="s">
        <v>354</v>
      </c>
    </row>
    <row r="245" spans="1:5" ht="30" customHeight="1">
      <c r="A245" s="688">
        <v>7130830027</v>
      </c>
      <c r="B245" s="686" t="s">
        <v>209</v>
      </c>
      <c r="C245" s="683" t="s">
        <v>1018</v>
      </c>
      <c r="D245" s="687">
        <v>27240</v>
      </c>
      <c r="E245" s="232" t="s">
        <v>355</v>
      </c>
    </row>
    <row r="246" spans="1:5" ht="25.5">
      <c r="A246" s="688">
        <v>7130830028</v>
      </c>
      <c r="B246" s="686" t="s">
        <v>204</v>
      </c>
      <c r="C246" s="683" t="s">
        <v>1018</v>
      </c>
      <c r="D246" s="687">
        <v>33968</v>
      </c>
      <c r="E246" s="232" t="s">
        <v>356</v>
      </c>
    </row>
    <row r="247" spans="1:5" ht="27.75" customHeight="1">
      <c r="A247" s="690">
        <v>7130830050</v>
      </c>
      <c r="B247" s="686" t="s">
        <v>121</v>
      </c>
      <c r="C247" s="683" t="s">
        <v>897</v>
      </c>
      <c r="D247" s="687">
        <v>32</v>
      </c>
      <c r="E247" s="232" t="s">
        <v>357</v>
      </c>
    </row>
    <row r="248" spans="1:5" ht="19.5" customHeight="1">
      <c r="A248" s="690">
        <v>7130830051</v>
      </c>
      <c r="B248" s="686" t="s">
        <v>122</v>
      </c>
      <c r="C248" s="683" t="s">
        <v>897</v>
      </c>
      <c r="D248" s="687">
        <v>126</v>
      </c>
      <c r="E248" s="232" t="s">
        <v>358</v>
      </c>
    </row>
    <row r="249" spans="1:5" ht="22.5" customHeight="1">
      <c r="A249" s="696">
        <v>7130830052</v>
      </c>
      <c r="B249" s="686" t="s">
        <v>123</v>
      </c>
      <c r="C249" s="683" t="s">
        <v>897</v>
      </c>
      <c r="D249" s="695">
        <v>534</v>
      </c>
      <c r="E249" s="232"/>
    </row>
    <row r="250" spans="1:5" ht="25.5">
      <c r="A250" s="683">
        <v>7130830053</v>
      </c>
      <c r="B250" s="686" t="s">
        <v>201</v>
      </c>
      <c r="C250" s="683" t="s">
        <v>1018</v>
      </c>
      <c r="D250" s="687">
        <v>13002</v>
      </c>
      <c r="E250" s="232" t="s">
        <v>359</v>
      </c>
    </row>
    <row r="251" spans="1:5" ht="12.75">
      <c r="A251" s="696">
        <v>7130830054</v>
      </c>
      <c r="B251" s="686" t="s">
        <v>124</v>
      </c>
      <c r="C251" s="683" t="s">
        <v>897</v>
      </c>
      <c r="D251" s="695">
        <v>312</v>
      </c>
      <c r="E251" s="232"/>
    </row>
    <row r="252" spans="1:5" ht="25.5">
      <c r="A252" s="683">
        <v>7130830055</v>
      </c>
      <c r="B252" s="686" t="s">
        <v>202</v>
      </c>
      <c r="C252" s="683" t="s">
        <v>1018</v>
      </c>
      <c r="D252" s="687">
        <v>20281</v>
      </c>
      <c r="E252" s="232" t="s">
        <v>360</v>
      </c>
    </row>
    <row r="253" spans="1:5" ht="12.75">
      <c r="A253" s="696">
        <v>7130830056</v>
      </c>
      <c r="B253" s="686" t="s">
        <v>125</v>
      </c>
      <c r="C253" s="683" t="s">
        <v>897</v>
      </c>
      <c r="D253" s="695">
        <v>312</v>
      </c>
      <c r="E253" s="232"/>
    </row>
    <row r="254" spans="1:5" ht="25.5">
      <c r="A254" s="688">
        <v>7130830057</v>
      </c>
      <c r="B254" s="686" t="s">
        <v>203</v>
      </c>
      <c r="C254" s="683" t="s">
        <v>1018</v>
      </c>
      <c r="D254" s="687">
        <v>33544</v>
      </c>
      <c r="E254" s="232" t="s">
        <v>361</v>
      </c>
    </row>
    <row r="255" spans="1:5" ht="28.5" customHeight="1">
      <c r="A255" s="696">
        <v>7130830058</v>
      </c>
      <c r="B255" s="686" t="s">
        <v>744</v>
      </c>
      <c r="C255" s="683" t="s">
        <v>897</v>
      </c>
      <c r="D255" s="695">
        <v>158</v>
      </c>
      <c r="E255" s="141"/>
    </row>
    <row r="256" spans="1:5" ht="25.5">
      <c r="A256" s="688">
        <v>7130830060</v>
      </c>
      <c r="B256" s="686" t="s">
        <v>204</v>
      </c>
      <c r="C256" s="683" t="s">
        <v>1018</v>
      </c>
      <c r="D256" s="687">
        <v>50002</v>
      </c>
      <c r="E256" s="232" t="s">
        <v>362</v>
      </c>
    </row>
    <row r="257" spans="1:5" ht="25.5">
      <c r="A257" s="688">
        <v>7130830063</v>
      </c>
      <c r="B257" s="686" t="s">
        <v>205</v>
      </c>
      <c r="C257" s="683" t="s">
        <v>1018</v>
      </c>
      <c r="D257" s="687">
        <v>64842</v>
      </c>
      <c r="E257" s="232" t="s">
        <v>363</v>
      </c>
    </row>
    <row r="258" spans="1:5" ht="25.5">
      <c r="A258" s="683">
        <v>7130830070</v>
      </c>
      <c r="B258" s="686" t="s">
        <v>206</v>
      </c>
      <c r="C258" s="683" t="s">
        <v>1018</v>
      </c>
      <c r="D258" s="687">
        <v>167935</v>
      </c>
      <c r="E258" s="232" t="s">
        <v>364</v>
      </c>
    </row>
    <row r="259" spans="1:5" ht="25.5">
      <c r="A259" s="688">
        <v>7130830084</v>
      </c>
      <c r="B259" s="686" t="s">
        <v>205</v>
      </c>
      <c r="C259" s="683" t="s">
        <v>1018</v>
      </c>
      <c r="D259" s="687">
        <v>50246</v>
      </c>
      <c r="E259" s="232" t="s">
        <v>365</v>
      </c>
    </row>
    <row r="260" spans="1:5" ht="12.75">
      <c r="A260" s="688">
        <v>7130830585</v>
      </c>
      <c r="B260" s="686" t="s">
        <v>746</v>
      </c>
      <c r="C260" s="683" t="s">
        <v>897</v>
      </c>
      <c r="D260" s="687">
        <v>239</v>
      </c>
      <c r="E260" s="232" t="s">
        <v>366</v>
      </c>
    </row>
    <row r="261" spans="1:5" ht="15" customHeight="1">
      <c r="A261" s="688">
        <v>7130830586</v>
      </c>
      <c r="B261" s="686" t="s">
        <v>747</v>
      </c>
      <c r="C261" s="683" t="s">
        <v>897</v>
      </c>
      <c r="D261" s="687">
        <v>191</v>
      </c>
      <c r="E261" s="232" t="s">
        <v>367</v>
      </c>
    </row>
    <row r="262" spans="1:5" ht="15" customHeight="1">
      <c r="A262" s="690">
        <v>7130830586</v>
      </c>
      <c r="B262" s="686" t="s">
        <v>748</v>
      </c>
      <c r="C262" s="683" t="s">
        <v>897</v>
      </c>
      <c r="D262" s="687">
        <v>279</v>
      </c>
      <c r="E262" s="232" t="s">
        <v>367</v>
      </c>
    </row>
    <row r="263" spans="1:5" ht="27" customHeight="1">
      <c r="A263" s="688">
        <v>7130830603</v>
      </c>
      <c r="B263" s="686" t="s">
        <v>745</v>
      </c>
      <c r="C263" s="683" t="s">
        <v>897</v>
      </c>
      <c r="D263" s="695">
        <v>232</v>
      </c>
      <c r="E263" s="232" t="s">
        <v>368</v>
      </c>
    </row>
    <row r="264" spans="1:5" ht="27.75" customHeight="1">
      <c r="A264" s="688">
        <v>7130830854</v>
      </c>
      <c r="B264" s="686" t="s">
        <v>749</v>
      </c>
      <c r="C264" s="683" t="s">
        <v>897</v>
      </c>
      <c r="D264" s="687">
        <v>26</v>
      </c>
      <c r="E264" s="232" t="s">
        <v>369</v>
      </c>
    </row>
    <row r="265" spans="1:5" ht="25.5">
      <c r="A265" s="683">
        <v>7130830971</v>
      </c>
      <c r="B265" s="678" t="s">
        <v>750</v>
      </c>
      <c r="C265" s="683" t="s">
        <v>897</v>
      </c>
      <c r="D265" s="687">
        <v>195</v>
      </c>
      <c r="E265" s="232" t="s">
        <v>370</v>
      </c>
    </row>
    <row r="266" spans="1:6" ht="17.25" customHeight="1">
      <c r="A266" s="688">
        <v>7130840021</v>
      </c>
      <c r="B266" s="686" t="s">
        <v>5</v>
      </c>
      <c r="C266" s="683" t="s">
        <v>897</v>
      </c>
      <c r="D266" s="687">
        <v>3483</v>
      </c>
      <c r="E266" s="232" t="s">
        <v>371</v>
      </c>
      <c r="F266" s="717"/>
    </row>
    <row r="267" spans="1:6" ht="20.25" customHeight="1">
      <c r="A267" s="688">
        <v>7130840029</v>
      </c>
      <c r="B267" s="686" t="s">
        <v>6</v>
      </c>
      <c r="C267" s="683" t="s">
        <v>897</v>
      </c>
      <c r="D267" s="687">
        <v>425</v>
      </c>
      <c r="E267" s="232" t="s">
        <v>372</v>
      </c>
      <c r="F267" s="717"/>
    </row>
    <row r="268" spans="1:5" ht="29.25" customHeight="1">
      <c r="A268" s="688">
        <v>7130850201</v>
      </c>
      <c r="B268" s="716" t="s">
        <v>445</v>
      </c>
      <c r="C268" s="688" t="s">
        <v>1012</v>
      </c>
      <c r="D268" s="687">
        <v>4547</v>
      </c>
      <c r="E268" s="232" t="s">
        <v>373</v>
      </c>
    </row>
    <row r="269" spans="1:5" ht="27" customHeight="1">
      <c r="A269" s="688">
        <v>7130850201</v>
      </c>
      <c r="B269" s="716" t="s">
        <v>446</v>
      </c>
      <c r="C269" s="688" t="s">
        <v>1013</v>
      </c>
      <c r="D269" s="687">
        <v>4393</v>
      </c>
      <c r="E269" s="232" t="s">
        <v>373</v>
      </c>
    </row>
    <row r="270" spans="1:5" ht="14.25">
      <c r="A270" s="688">
        <v>7130860017</v>
      </c>
      <c r="B270" s="716" t="s">
        <v>447</v>
      </c>
      <c r="C270" s="688" t="s">
        <v>1013</v>
      </c>
      <c r="D270" s="165">
        <v>100</v>
      </c>
      <c r="E270" s="232" t="s">
        <v>374</v>
      </c>
    </row>
    <row r="271" spans="1:5" ht="15" customHeight="1">
      <c r="A271" s="688">
        <v>7130860032</v>
      </c>
      <c r="B271" s="686" t="s">
        <v>448</v>
      </c>
      <c r="C271" s="683" t="s">
        <v>897</v>
      </c>
      <c r="D271" s="687">
        <v>387</v>
      </c>
      <c r="E271" s="232" t="s">
        <v>375</v>
      </c>
    </row>
    <row r="272" spans="1:5" ht="12.75">
      <c r="A272" s="688">
        <v>7130860033</v>
      </c>
      <c r="B272" s="686" t="s">
        <v>449</v>
      </c>
      <c r="C272" s="683" t="s">
        <v>897</v>
      </c>
      <c r="D272" s="687">
        <v>705</v>
      </c>
      <c r="E272" s="232" t="s">
        <v>376</v>
      </c>
    </row>
    <row r="273" spans="1:5" ht="12.75">
      <c r="A273" s="688">
        <v>7130860076</v>
      </c>
      <c r="B273" s="686" t="s">
        <v>450</v>
      </c>
      <c r="C273" s="683" t="s">
        <v>988</v>
      </c>
      <c r="D273" s="687">
        <v>61002</v>
      </c>
      <c r="E273" s="232" t="s">
        <v>377</v>
      </c>
    </row>
    <row r="274" spans="1:5" ht="12.75">
      <c r="A274" s="688">
        <v>7130860077</v>
      </c>
      <c r="B274" s="686" t="s">
        <v>451</v>
      </c>
      <c r="C274" s="683" t="s">
        <v>988</v>
      </c>
      <c r="D274" s="687">
        <v>61600</v>
      </c>
      <c r="E274" s="232" t="s">
        <v>378</v>
      </c>
    </row>
    <row r="275" spans="1:5" ht="15.75" customHeight="1">
      <c r="A275" s="692">
        <v>7130870010</v>
      </c>
      <c r="B275" s="703" t="s">
        <v>795</v>
      </c>
      <c r="C275" s="704" t="s">
        <v>1013</v>
      </c>
      <c r="D275" s="695">
        <v>681</v>
      </c>
      <c r="E275" s="232"/>
    </row>
    <row r="276" spans="1:5" ht="39.75" customHeight="1">
      <c r="A276" s="688">
        <v>7130870013</v>
      </c>
      <c r="B276" s="686" t="s">
        <v>985</v>
      </c>
      <c r="C276" s="683" t="s">
        <v>897</v>
      </c>
      <c r="D276" s="687">
        <v>100</v>
      </c>
      <c r="E276" s="232" t="s">
        <v>379</v>
      </c>
    </row>
    <row r="277" spans="1:5" ht="15.75" customHeight="1">
      <c r="A277" s="688">
        <v>7130870030</v>
      </c>
      <c r="B277" s="716" t="s">
        <v>452</v>
      </c>
      <c r="C277" s="688" t="s">
        <v>1013</v>
      </c>
      <c r="D277" s="687">
        <v>371</v>
      </c>
      <c r="E277" s="232" t="s">
        <v>380</v>
      </c>
    </row>
    <row r="278" spans="1:5" ht="15.75" customHeight="1">
      <c r="A278" s="688">
        <v>7130870041</v>
      </c>
      <c r="B278" s="686" t="s">
        <v>453</v>
      </c>
      <c r="C278" s="683" t="s">
        <v>988</v>
      </c>
      <c r="D278" s="687">
        <v>55133</v>
      </c>
      <c r="E278" s="232" t="s">
        <v>381</v>
      </c>
    </row>
    <row r="279" spans="1:5" ht="15.75" customHeight="1">
      <c r="A279" s="688">
        <v>7130870043</v>
      </c>
      <c r="B279" s="686" t="s">
        <v>454</v>
      </c>
      <c r="C279" s="683" t="s">
        <v>988</v>
      </c>
      <c r="D279" s="687">
        <v>55094</v>
      </c>
      <c r="E279" s="232" t="s">
        <v>382</v>
      </c>
    </row>
    <row r="280" spans="1:5" ht="15.75" customHeight="1">
      <c r="A280" s="688">
        <v>7130870045</v>
      </c>
      <c r="B280" s="686" t="s">
        <v>455</v>
      </c>
      <c r="C280" s="683" t="s">
        <v>988</v>
      </c>
      <c r="D280" s="687">
        <v>55094</v>
      </c>
      <c r="E280" s="232" t="s">
        <v>383</v>
      </c>
    </row>
    <row r="281" spans="1:5" ht="27.75" customHeight="1">
      <c r="A281" s="690">
        <v>7130870088</v>
      </c>
      <c r="B281" s="686" t="s">
        <v>692</v>
      </c>
      <c r="C281" s="683" t="s">
        <v>897</v>
      </c>
      <c r="D281" s="687">
        <v>1930</v>
      </c>
      <c r="E281" s="232"/>
    </row>
    <row r="282" spans="1:5" ht="25.5">
      <c r="A282" s="693">
        <v>7130870318</v>
      </c>
      <c r="B282" s="686" t="s">
        <v>1374</v>
      </c>
      <c r="C282" s="683" t="s">
        <v>1012</v>
      </c>
      <c r="D282" s="687">
        <v>1003</v>
      </c>
      <c r="E282" s="232" t="s">
        <v>384</v>
      </c>
    </row>
    <row r="283" spans="1:6" ht="25.5" hidden="1">
      <c r="A283" s="777">
        <v>7130877679</v>
      </c>
      <c r="B283" s="767" t="s">
        <v>597</v>
      </c>
      <c r="C283" s="762" t="s">
        <v>897</v>
      </c>
      <c r="D283" s="765" t="s">
        <v>1242</v>
      </c>
      <c r="E283" s="766" t="s">
        <v>457</v>
      </c>
      <c r="F283" s="773"/>
    </row>
    <row r="284" spans="1:5" ht="27.75" customHeight="1">
      <c r="A284" s="702">
        <v>7130877681</v>
      </c>
      <c r="B284" s="694" t="s">
        <v>792</v>
      </c>
      <c r="C284" s="675" t="s">
        <v>897</v>
      </c>
      <c r="D284" s="700">
        <v>2270</v>
      </c>
      <c r="E284" s="232" t="s">
        <v>456</v>
      </c>
    </row>
    <row r="285" spans="1:5" ht="25.5">
      <c r="A285" s="675">
        <v>7130877683</v>
      </c>
      <c r="B285" s="694" t="s">
        <v>793</v>
      </c>
      <c r="C285" s="675" t="s">
        <v>897</v>
      </c>
      <c r="D285" s="687">
        <v>2018</v>
      </c>
      <c r="E285" s="232" t="s">
        <v>385</v>
      </c>
    </row>
    <row r="286" spans="1:5" ht="27" customHeight="1">
      <c r="A286" s="692">
        <v>7130880006</v>
      </c>
      <c r="B286" s="691" t="s">
        <v>891</v>
      </c>
      <c r="C286" s="675" t="s">
        <v>1013</v>
      </c>
      <c r="D286" s="695">
        <v>113</v>
      </c>
      <c r="E286" s="232" t="s">
        <v>386</v>
      </c>
    </row>
    <row r="287" spans="1:5" ht="27.75" customHeight="1">
      <c r="A287" s="692">
        <v>7130880006</v>
      </c>
      <c r="B287" s="703" t="s">
        <v>807</v>
      </c>
      <c r="C287" s="711" t="s">
        <v>1013</v>
      </c>
      <c r="D287" s="695">
        <v>124</v>
      </c>
      <c r="E287" s="232" t="s">
        <v>386</v>
      </c>
    </row>
    <row r="288" spans="1:5" ht="18" customHeight="1">
      <c r="A288" s="688">
        <v>7130880041</v>
      </c>
      <c r="B288" s="686" t="s">
        <v>691</v>
      </c>
      <c r="C288" s="683" t="s">
        <v>897</v>
      </c>
      <c r="D288" s="687">
        <v>74</v>
      </c>
      <c r="E288" s="232" t="s">
        <v>387</v>
      </c>
    </row>
    <row r="289" spans="1:6" ht="18" hidden="1">
      <c r="A289" s="764">
        <v>7130890003</v>
      </c>
      <c r="B289" s="775" t="s">
        <v>510</v>
      </c>
      <c r="C289" s="764" t="s">
        <v>897</v>
      </c>
      <c r="D289" s="765" t="s">
        <v>1242</v>
      </c>
      <c r="E289" s="766" t="s">
        <v>388</v>
      </c>
      <c r="F289" s="773"/>
    </row>
    <row r="290" spans="1:5" ht="25.5">
      <c r="A290" s="692">
        <v>7130890004</v>
      </c>
      <c r="B290" s="691" t="s">
        <v>1088</v>
      </c>
      <c r="C290" s="683" t="s">
        <v>695</v>
      </c>
      <c r="D290" s="687">
        <v>4543</v>
      </c>
      <c r="E290" s="232" t="s">
        <v>389</v>
      </c>
    </row>
    <row r="291" spans="1:5" ht="25.5">
      <c r="A291" s="692">
        <v>7130890005</v>
      </c>
      <c r="B291" s="691" t="s">
        <v>1089</v>
      </c>
      <c r="C291" s="683" t="s">
        <v>695</v>
      </c>
      <c r="D291" s="687">
        <v>5733</v>
      </c>
      <c r="E291" s="232"/>
    </row>
    <row r="292" spans="1:5" ht="25.5">
      <c r="A292" s="692">
        <v>7130890006</v>
      </c>
      <c r="B292" s="691" t="s">
        <v>1090</v>
      </c>
      <c r="C292" s="683" t="s">
        <v>695</v>
      </c>
      <c r="D292" s="687">
        <v>13002</v>
      </c>
      <c r="E292" s="232" t="s">
        <v>390</v>
      </c>
    </row>
    <row r="293" spans="1:5" ht="25.5">
      <c r="A293" s="692">
        <v>7130890007</v>
      </c>
      <c r="B293" s="691" t="s">
        <v>1091</v>
      </c>
      <c r="C293" s="683" t="s">
        <v>695</v>
      </c>
      <c r="D293" s="687">
        <v>13621</v>
      </c>
      <c r="E293" s="232" t="s">
        <v>391</v>
      </c>
    </row>
    <row r="294" spans="1:5" ht="25.5" customHeight="1">
      <c r="A294" s="692">
        <v>7130890008</v>
      </c>
      <c r="B294" s="691" t="s">
        <v>1092</v>
      </c>
      <c r="C294" s="675" t="s">
        <v>695</v>
      </c>
      <c r="D294" s="695">
        <v>51</v>
      </c>
      <c r="E294" s="232" t="s">
        <v>392</v>
      </c>
    </row>
    <row r="295" spans="1:5" ht="14.25" customHeight="1">
      <c r="A295" s="692">
        <v>7130890009</v>
      </c>
      <c r="B295" s="708" t="s">
        <v>1093</v>
      </c>
      <c r="C295" s="687" t="s">
        <v>695</v>
      </c>
      <c r="D295" s="700">
        <v>4017</v>
      </c>
      <c r="E295" s="232" t="s">
        <v>1055</v>
      </c>
    </row>
    <row r="296" spans="1:5" ht="12.75">
      <c r="A296" s="692">
        <v>7130893004</v>
      </c>
      <c r="B296" s="705" t="s">
        <v>794</v>
      </c>
      <c r="C296" s="704" t="s">
        <v>1013</v>
      </c>
      <c r="D296" s="695">
        <v>161</v>
      </c>
      <c r="E296" s="232" t="s">
        <v>1056</v>
      </c>
    </row>
    <row r="297" spans="1:5" ht="16.5" customHeight="1">
      <c r="A297" s="688">
        <v>7130897759</v>
      </c>
      <c r="B297" s="716" t="s">
        <v>458</v>
      </c>
      <c r="C297" s="688" t="s">
        <v>1012</v>
      </c>
      <c r="D297" s="687">
        <v>3315</v>
      </c>
      <c r="E297" s="232" t="s">
        <v>1057</v>
      </c>
    </row>
    <row r="298" spans="1:5" ht="12.75">
      <c r="A298" s="692">
        <v>7131210001</v>
      </c>
      <c r="B298" s="691" t="s">
        <v>1406</v>
      </c>
      <c r="C298" s="675" t="s">
        <v>695</v>
      </c>
      <c r="D298" s="695">
        <v>106</v>
      </c>
      <c r="E298" s="232"/>
    </row>
    <row r="299" spans="1:6" ht="18" hidden="1">
      <c r="A299" s="776">
        <v>7131210846</v>
      </c>
      <c r="B299" s="767" t="s">
        <v>511</v>
      </c>
      <c r="C299" s="768" t="s">
        <v>1013</v>
      </c>
      <c r="D299" s="765" t="s">
        <v>1242</v>
      </c>
      <c r="E299" s="766" t="s">
        <v>1058</v>
      </c>
      <c r="F299" s="773"/>
    </row>
    <row r="300" spans="1:5" ht="15.75" customHeight="1">
      <c r="A300" s="690">
        <v>7131210852</v>
      </c>
      <c r="B300" s="686" t="s">
        <v>1392</v>
      </c>
      <c r="C300" s="683" t="s">
        <v>897</v>
      </c>
      <c r="D300" s="687">
        <v>97</v>
      </c>
      <c r="E300" s="232"/>
    </row>
    <row r="301" spans="1:5" ht="15.75" customHeight="1">
      <c r="A301" s="690">
        <v>7131210881</v>
      </c>
      <c r="B301" s="686" t="s">
        <v>869</v>
      </c>
      <c r="C301" s="683" t="s">
        <v>897</v>
      </c>
      <c r="D301" s="687">
        <v>1260</v>
      </c>
      <c r="E301" s="232" t="s">
        <v>1059</v>
      </c>
    </row>
    <row r="302" spans="1:5" ht="15" customHeight="1">
      <c r="A302" s="688">
        <v>7131220182</v>
      </c>
      <c r="B302" s="686" t="s">
        <v>872</v>
      </c>
      <c r="C302" s="683" t="s">
        <v>897</v>
      </c>
      <c r="D302" s="687">
        <v>52</v>
      </c>
      <c r="E302" s="232" t="s">
        <v>1060</v>
      </c>
    </row>
    <row r="303" spans="1:5" ht="15.75" customHeight="1">
      <c r="A303" s="690">
        <v>7131230003</v>
      </c>
      <c r="B303" s="686" t="s">
        <v>870</v>
      </c>
      <c r="C303" s="683" t="s">
        <v>897</v>
      </c>
      <c r="D303" s="687">
        <v>470</v>
      </c>
      <c r="E303" s="232" t="s">
        <v>1061</v>
      </c>
    </row>
    <row r="304" spans="1:5" ht="15.75" customHeight="1">
      <c r="A304" s="690">
        <v>7131230116</v>
      </c>
      <c r="B304" s="686" t="s">
        <v>1398</v>
      </c>
      <c r="C304" s="683" t="s">
        <v>897</v>
      </c>
      <c r="D304" s="687">
        <v>370</v>
      </c>
      <c r="E304" s="232" t="s">
        <v>1062</v>
      </c>
    </row>
    <row r="305" spans="1:5" ht="27" customHeight="1">
      <c r="A305" s="706">
        <v>7131230128</v>
      </c>
      <c r="B305" s="686" t="s">
        <v>880</v>
      </c>
      <c r="C305" s="683" t="s">
        <v>897</v>
      </c>
      <c r="D305" s="695">
        <v>1967</v>
      </c>
      <c r="E305" s="232" t="s">
        <v>1063</v>
      </c>
    </row>
    <row r="306" spans="1:5" ht="18" customHeight="1">
      <c r="A306" s="690">
        <v>7131280006</v>
      </c>
      <c r="B306" s="686" t="s">
        <v>1394</v>
      </c>
      <c r="C306" s="683" t="s">
        <v>897</v>
      </c>
      <c r="D306" s="687">
        <v>103</v>
      </c>
      <c r="E306" s="232"/>
    </row>
    <row r="307" spans="1:5" ht="12.75">
      <c r="A307" s="690">
        <v>7131280007</v>
      </c>
      <c r="B307" s="686" t="s">
        <v>1395</v>
      </c>
      <c r="C307" s="683" t="s">
        <v>897</v>
      </c>
      <c r="D307" s="687">
        <v>135</v>
      </c>
      <c r="E307" s="232" t="s">
        <v>1064</v>
      </c>
    </row>
    <row r="308" spans="1:5" ht="12.75">
      <c r="A308" s="690">
        <v>7131280008</v>
      </c>
      <c r="B308" s="686" t="s">
        <v>1396</v>
      </c>
      <c r="C308" s="683" t="s">
        <v>897</v>
      </c>
      <c r="D308" s="687">
        <v>174</v>
      </c>
      <c r="E308" s="232"/>
    </row>
    <row r="309" spans="1:5" ht="12.75">
      <c r="A309" s="690">
        <v>7131280009</v>
      </c>
      <c r="B309" s="686" t="s">
        <v>1397</v>
      </c>
      <c r="C309" s="683" t="s">
        <v>897</v>
      </c>
      <c r="D309" s="687">
        <v>161</v>
      </c>
      <c r="E309" s="232"/>
    </row>
    <row r="310" spans="1:5" ht="12.75">
      <c r="A310" s="690">
        <v>7131280010</v>
      </c>
      <c r="B310" s="686" t="s">
        <v>871</v>
      </c>
      <c r="C310" s="683" t="s">
        <v>897</v>
      </c>
      <c r="D310" s="687">
        <v>99</v>
      </c>
      <c r="E310" s="232"/>
    </row>
    <row r="311" spans="1:5" ht="25.5">
      <c r="A311" s="690">
        <v>7131280011</v>
      </c>
      <c r="B311" s="686" t="s">
        <v>873</v>
      </c>
      <c r="C311" s="683" t="s">
        <v>897</v>
      </c>
      <c r="D311" s="687">
        <v>6502</v>
      </c>
      <c r="E311" s="232"/>
    </row>
    <row r="312" spans="1:5" ht="12.75">
      <c r="A312" s="690">
        <v>7131280012</v>
      </c>
      <c r="B312" s="686" t="s">
        <v>874</v>
      </c>
      <c r="C312" s="683" t="s">
        <v>897</v>
      </c>
      <c r="D312" s="687">
        <v>650</v>
      </c>
      <c r="E312" s="232" t="s">
        <v>1065</v>
      </c>
    </row>
    <row r="313" spans="1:5" ht="12.75">
      <c r="A313" s="690">
        <v>7131280013</v>
      </c>
      <c r="B313" s="686" t="s">
        <v>875</v>
      </c>
      <c r="C313" s="683" t="s">
        <v>897</v>
      </c>
      <c r="D313" s="687">
        <v>2718</v>
      </c>
      <c r="E313" s="232" t="s">
        <v>1066</v>
      </c>
    </row>
    <row r="314" spans="1:5" ht="12.75">
      <c r="A314" s="690">
        <v>7131280014</v>
      </c>
      <c r="B314" s="686" t="s">
        <v>876</v>
      </c>
      <c r="C314" s="683" t="s">
        <v>897</v>
      </c>
      <c r="D314" s="687">
        <v>325</v>
      </c>
      <c r="E314" s="232" t="s">
        <v>1067</v>
      </c>
    </row>
    <row r="315" spans="1:5" ht="12.75">
      <c r="A315" s="690">
        <v>7131280015</v>
      </c>
      <c r="B315" s="686" t="s">
        <v>877</v>
      </c>
      <c r="C315" s="683" t="s">
        <v>897</v>
      </c>
      <c r="D315" s="687">
        <v>1355</v>
      </c>
      <c r="E315" s="232" t="s">
        <v>1068</v>
      </c>
    </row>
    <row r="316" spans="1:5" ht="25.5">
      <c r="A316" s="690">
        <v>7131280016</v>
      </c>
      <c r="B316" s="686" t="s">
        <v>878</v>
      </c>
      <c r="C316" s="683" t="s">
        <v>897</v>
      </c>
      <c r="D316" s="687">
        <v>3100</v>
      </c>
      <c r="E316" s="232" t="s">
        <v>1069</v>
      </c>
    </row>
    <row r="317" spans="1:5" ht="25.5">
      <c r="A317" s="690">
        <v>7131280017</v>
      </c>
      <c r="B317" s="686" t="s">
        <v>879</v>
      </c>
      <c r="C317" s="683" t="s">
        <v>897</v>
      </c>
      <c r="D317" s="687">
        <v>3874</v>
      </c>
      <c r="E317" s="232" t="s">
        <v>1070</v>
      </c>
    </row>
    <row r="318" spans="1:5" ht="12.75">
      <c r="A318" s="690">
        <v>7131280882</v>
      </c>
      <c r="B318" s="686" t="s">
        <v>1393</v>
      </c>
      <c r="C318" s="683" t="s">
        <v>897</v>
      </c>
      <c r="D318" s="687">
        <v>97</v>
      </c>
      <c r="E318" s="232"/>
    </row>
    <row r="319" spans="1:5" ht="25.5">
      <c r="A319" s="688">
        <v>7131300046</v>
      </c>
      <c r="B319" s="686" t="s">
        <v>883</v>
      </c>
      <c r="C319" s="683" t="s">
        <v>897</v>
      </c>
      <c r="D319" s="687">
        <v>2326</v>
      </c>
      <c r="E319" s="232" t="s">
        <v>1071</v>
      </c>
    </row>
    <row r="320" spans="1:5" ht="25.5">
      <c r="A320" s="677">
        <v>7131300065</v>
      </c>
      <c r="B320" s="678" t="s">
        <v>731</v>
      </c>
      <c r="C320" s="679" t="s">
        <v>897</v>
      </c>
      <c r="D320" s="680">
        <v>1039058</v>
      </c>
      <c r="E320" s="232" t="s">
        <v>1072</v>
      </c>
    </row>
    <row r="321" spans="1:5" ht="12.75">
      <c r="A321" s="692">
        <v>7131300067</v>
      </c>
      <c r="B321" s="694" t="s">
        <v>1428</v>
      </c>
      <c r="C321" s="677" t="s">
        <v>695</v>
      </c>
      <c r="D321" s="680">
        <v>178</v>
      </c>
      <c r="E321" s="232"/>
    </row>
    <row r="322" spans="1:5" ht="12.75">
      <c r="A322" s="692">
        <v>7131300082</v>
      </c>
      <c r="B322" s="694" t="s">
        <v>1427</v>
      </c>
      <c r="C322" s="675" t="s">
        <v>695</v>
      </c>
      <c r="D322" s="695">
        <v>648</v>
      </c>
      <c r="E322" s="232" t="s">
        <v>1073</v>
      </c>
    </row>
    <row r="323" spans="1:5" ht="38.25">
      <c r="A323" s="688">
        <v>7131300500</v>
      </c>
      <c r="B323" s="686" t="s">
        <v>37</v>
      </c>
      <c r="C323" s="683" t="s">
        <v>897</v>
      </c>
      <c r="D323" s="687">
        <v>975</v>
      </c>
      <c r="E323" s="232" t="s">
        <v>1074</v>
      </c>
    </row>
    <row r="324" spans="1:5" ht="12.75">
      <c r="A324" s="679">
        <v>7131300881</v>
      </c>
      <c r="B324" s="678" t="s">
        <v>730</v>
      </c>
      <c r="C324" s="679" t="s">
        <v>897</v>
      </c>
      <c r="D324" s="681">
        <v>50063</v>
      </c>
      <c r="E324" s="232" t="s">
        <v>1075</v>
      </c>
    </row>
    <row r="325" spans="1:5" ht="12.75">
      <c r="A325" s="679">
        <v>7131310013</v>
      </c>
      <c r="B325" s="678" t="s">
        <v>729</v>
      </c>
      <c r="C325" s="679" t="s">
        <v>897</v>
      </c>
      <c r="D325" s="681">
        <v>4030</v>
      </c>
      <c r="E325" s="232" t="s">
        <v>1076</v>
      </c>
    </row>
    <row r="326" spans="1:5" ht="25.5">
      <c r="A326" s="688">
        <v>7131310015</v>
      </c>
      <c r="B326" s="686" t="s">
        <v>887</v>
      </c>
      <c r="C326" s="683" t="s">
        <v>897</v>
      </c>
      <c r="D326" s="687">
        <v>11297</v>
      </c>
      <c r="E326" s="232" t="s">
        <v>1077</v>
      </c>
    </row>
    <row r="327" spans="1:5" ht="25.5">
      <c r="A327" s="679">
        <v>7131310033</v>
      </c>
      <c r="B327" s="678" t="s">
        <v>623</v>
      </c>
      <c r="C327" s="679" t="s">
        <v>897</v>
      </c>
      <c r="D327" s="681">
        <v>3970</v>
      </c>
      <c r="E327" s="232" t="s">
        <v>1078</v>
      </c>
    </row>
    <row r="328" spans="1:5" ht="25.5">
      <c r="A328" s="679">
        <v>7131310034</v>
      </c>
      <c r="B328" s="678" t="s">
        <v>726</v>
      </c>
      <c r="C328" s="679" t="s">
        <v>897</v>
      </c>
      <c r="D328" s="681">
        <v>4030</v>
      </c>
      <c r="E328" s="232" t="s">
        <v>1078</v>
      </c>
    </row>
    <row r="329" spans="1:5" ht="15.75" customHeight="1">
      <c r="A329" s="679">
        <v>7131310035</v>
      </c>
      <c r="B329" s="678" t="s">
        <v>728</v>
      </c>
      <c r="C329" s="679" t="s">
        <v>897</v>
      </c>
      <c r="D329" s="681">
        <v>16362</v>
      </c>
      <c r="E329" s="232" t="s">
        <v>1079</v>
      </c>
    </row>
    <row r="330" spans="1:5" ht="15.75" customHeight="1">
      <c r="A330" s="679">
        <v>7131310036</v>
      </c>
      <c r="B330" s="678" t="s">
        <v>727</v>
      </c>
      <c r="C330" s="679" t="s">
        <v>897</v>
      </c>
      <c r="D330" s="681">
        <v>16362</v>
      </c>
      <c r="E330" s="232" t="s">
        <v>1080</v>
      </c>
    </row>
    <row r="331" spans="1:5" ht="15.75" customHeight="1">
      <c r="A331" s="679">
        <v>7131310037</v>
      </c>
      <c r="B331" s="678" t="s">
        <v>821</v>
      </c>
      <c r="C331" s="679" t="s">
        <v>897</v>
      </c>
      <c r="D331" s="681">
        <v>870</v>
      </c>
      <c r="E331" s="232" t="s">
        <v>1081</v>
      </c>
    </row>
    <row r="332" spans="1:5" ht="25.5">
      <c r="A332" s="688">
        <v>7131310994</v>
      </c>
      <c r="B332" s="686" t="s">
        <v>884</v>
      </c>
      <c r="C332" s="683" t="s">
        <v>897</v>
      </c>
      <c r="D332" s="687">
        <v>2618</v>
      </c>
      <c r="E332" s="232" t="s">
        <v>1082</v>
      </c>
    </row>
    <row r="333" spans="1:5" ht="25.5">
      <c r="A333" s="688">
        <v>7131310997</v>
      </c>
      <c r="B333" s="686" t="s">
        <v>885</v>
      </c>
      <c r="C333" s="683" t="s">
        <v>897</v>
      </c>
      <c r="D333" s="687">
        <v>2487</v>
      </c>
      <c r="E333" s="232" t="s">
        <v>1083</v>
      </c>
    </row>
    <row r="334" spans="1:5" ht="19.5" customHeight="1">
      <c r="A334" s="706">
        <v>7131320009</v>
      </c>
      <c r="B334" s="691" t="s">
        <v>709</v>
      </c>
      <c r="C334" s="675" t="s">
        <v>695</v>
      </c>
      <c r="D334" s="695">
        <v>2700</v>
      </c>
      <c r="E334" s="232" t="s">
        <v>1084</v>
      </c>
    </row>
    <row r="335" spans="1:5" ht="25.5">
      <c r="A335" s="692">
        <v>7131321603</v>
      </c>
      <c r="B335" s="691" t="s">
        <v>1430</v>
      </c>
      <c r="C335" s="675" t="s">
        <v>695</v>
      </c>
      <c r="D335" s="695">
        <v>3940</v>
      </c>
      <c r="E335" s="232"/>
    </row>
    <row r="336" spans="1:5" ht="17.25" customHeight="1">
      <c r="A336" s="692">
        <v>7131324780</v>
      </c>
      <c r="B336" s="691" t="s">
        <v>713</v>
      </c>
      <c r="C336" s="675" t="s">
        <v>695</v>
      </c>
      <c r="D336" s="695">
        <v>3240</v>
      </c>
      <c r="E336" s="232"/>
    </row>
    <row r="337" spans="1:5" ht="17.25" customHeight="1">
      <c r="A337" s="706">
        <v>7131324806</v>
      </c>
      <c r="B337" s="691" t="s">
        <v>714</v>
      </c>
      <c r="C337" s="675" t="s">
        <v>695</v>
      </c>
      <c r="D337" s="695">
        <v>4883</v>
      </c>
      <c r="E337" s="232" t="s">
        <v>1085</v>
      </c>
    </row>
    <row r="338" spans="1:5" ht="25.5">
      <c r="A338" s="690">
        <v>7131329275</v>
      </c>
      <c r="B338" s="686" t="s">
        <v>733</v>
      </c>
      <c r="C338" s="683" t="s">
        <v>897</v>
      </c>
      <c r="D338" s="687">
        <v>6842</v>
      </c>
      <c r="E338" s="232"/>
    </row>
    <row r="339" spans="1:9" ht="25.5">
      <c r="A339" s="690">
        <v>7131334001</v>
      </c>
      <c r="B339" s="686" t="s">
        <v>734</v>
      </c>
      <c r="C339" s="683" t="s">
        <v>695</v>
      </c>
      <c r="D339" s="687">
        <v>7851</v>
      </c>
      <c r="E339" s="232" t="s">
        <v>761</v>
      </c>
      <c r="I339" s="683" t="s">
        <v>459</v>
      </c>
    </row>
    <row r="340" spans="1:9" ht="38.25" customHeight="1">
      <c r="A340" s="690">
        <v>7131334002</v>
      </c>
      <c r="B340" s="686" t="s">
        <v>735</v>
      </c>
      <c r="C340" s="683" t="s">
        <v>695</v>
      </c>
      <c r="D340" s="687">
        <v>7278</v>
      </c>
      <c r="E340" s="232" t="s">
        <v>762</v>
      </c>
      <c r="I340" s="683" t="s">
        <v>460</v>
      </c>
    </row>
    <row r="341" spans="1:9" ht="25.5">
      <c r="A341" s="690">
        <v>7131399007</v>
      </c>
      <c r="B341" s="686" t="s">
        <v>736</v>
      </c>
      <c r="C341" s="683" t="s">
        <v>695</v>
      </c>
      <c r="D341" s="687">
        <v>1585</v>
      </c>
      <c r="E341" s="232"/>
      <c r="I341" s="683" t="s">
        <v>461</v>
      </c>
    </row>
    <row r="342" spans="1:5" ht="25.5">
      <c r="A342" s="692">
        <v>7131338004</v>
      </c>
      <c r="B342" s="691" t="s">
        <v>1425</v>
      </c>
      <c r="C342" s="675" t="s">
        <v>695</v>
      </c>
      <c r="D342" s="695">
        <v>64638</v>
      </c>
      <c r="E342" s="232"/>
    </row>
    <row r="343" spans="1:5" ht="14.25" customHeight="1">
      <c r="A343" s="706">
        <v>7131338025</v>
      </c>
      <c r="B343" s="694" t="s">
        <v>1416</v>
      </c>
      <c r="C343" s="675" t="s">
        <v>695</v>
      </c>
      <c r="D343" s="695">
        <v>51</v>
      </c>
      <c r="E343" s="232" t="s">
        <v>763</v>
      </c>
    </row>
    <row r="344" spans="1:5" ht="13.5" customHeight="1">
      <c r="A344" s="692">
        <v>7131387501</v>
      </c>
      <c r="B344" s="691" t="s">
        <v>708</v>
      </c>
      <c r="C344" s="675" t="s">
        <v>695</v>
      </c>
      <c r="D344" s="695">
        <v>216</v>
      </c>
      <c r="E344" s="141"/>
    </row>
    <row r="345" spans="1:5" ht="15.75" customHeight="1">
      <c r="A345" s="692">
        <v>7131387502</v>
      </c>
      <c r="B345" s="691" t="s">
        <v>711</v>
      </c>
      <c r="C345" s="675" t="s">
        <v>695</v>
      </c>
      <c r="D345" s="695">
        <v>427</v>
      </c>
      <c r="E345" s="141" t="s">
        <v>764</v>
      </c>
    </row>
    <row r="346" spans="1:6" ht="38.25" hidden="1">
      <c r="A346" s="762">
        <v>7131390009</v>
      </c>
      <c r="B346" s="767" t="s">
        <v>865</v>
      </c>
      <c r="C346" s="762" t="s">
        <v>695</v>
      </c>
      <c r="D346" s="765" t="s">
        <v>1242</v>
      </c>
      <c r="E346" s="771"/>
      <c r="F346" s="773"/>
    </row>
    <row r="347" spans="1:6" ht="29.25" customHeight="1" hidden="1">
      <c r="A347" s="762">
        <v>7131390010</v>
      </c>
      <c r="B347" s="775" t="s">
        <v>866</v>
      </c>
      <c r="C347" s="762" t="s">
        <v>897</v>
      </c>
      <c r="D347" s="765" t="s">
        <v>1242</v>
      </c>
      <c r="E347" s="771"/>
      <c r="F347" s="773"/>
    </row>
    <row r="348" spans="1:6" ht="38.25" hidden="1">
      <c r="A348" s="762">
        <v>7131390012</v>
      </c>
      <c r="B348" s="767" t="s">
        <v>867</v>
      </c>
      <c r="C348" s="762" t="s">
        <v>695</v>
      </c>
      <c r="D348" s="765" t="s">
        <v>1242</v>
      </c>
      <c r="E348" s="771"/>
      <c r="F348" s="773"/>
    </row>
    <row r="349" spans="1:6" ht="39.75" customHeight="1" hidden="1">
      <c r="A349" s="762">
        <v>7131390013</v>
      </c>
      <c r="B349" s="767" t="s">
        <v>868</v>
      </c>
      <c r="C349" s="762" t="s">
        <v>695</v>
      </c>
      <c r="D349" s="765" t="s">
        <v>1242</v>
      </c>
      <c r="E349" s="771"/>
      <c r="F349" s="773"/>
    </row>
    <row r="350" spans="1:5" ht="12.75">
      <c r="A350" s="692">
        <v>7131390014</v>
      </c>
      <c r="B350" s="691" t="s">
        <v>660</v>
      </c>
      <c r="C350" s="675" t="s">
        <v>695</v>
      </c>
      <c r="D350" s="695">
        <v>169</v>
      </c>
      <c r="E350" s="141"/>
    </row>
    <row r="351" spans="1:5" ht="12.75">
      <c r="A351" s="692">
        <v>7131390015</v>
      </c>
      <c r="B351" s="691" t="s">
        <v>661</v>
      </c>
      <c r="C351" s="675" t="s">
        <v>695</v>
      </c>
      <c r="D351" s="695">
        <v>31</v>
      </c>
      <c r="E351" s="141"/>
    </row>
    <row r="352" spans="1:5" ht="15" customHeight="1">
      <c r="A352" s="692">
        <v>7131390016</v>
      </c>
      <c r="B352" s="691" t="s">
        <v>662</v>
      </c>
      <c r="C352" s="675" t="s">
        <v>695</v>
      </c>
      <c r="D352" s="695">
        <v>420</v>
      </c>
      <c r="E352" s="141"/>
    </row>
    <row r="353" spans="1:5" ht="15" customHeight="1">
      <c r="A353" s="690">
        <v>7131820031</v>
      </c>
      <c r="B353" s="686" t="s">
        <v>462</v>
      </c>
      <c r="C353" s="683" t="s">
        <v>897</v>
      </c>
      <c r="D353" s="687">
        <v>101</v>
      </c>
      <c r="E353" s="141"/>
    </row>
    <row r="354" spans="1:5" ht="15" customHeight="1">
      <c r="A354" s="690">
        <v>7131820032</v>
      </c>
      <c r="B354" s="686" t="s">
        <v>463</v>
      </c>
      <c r="C354" s="683" t="s">
        <v>897</v>
      </c>
      <c r="D354" s="687">
        <v>101</v>
      </c>
      <c r="E354" s="141" t="s">
        <v>765</v>
      </c>
    </row>
    <row r="355" spans="1:5" ht="15" customHeight="1">
      <c r="A355" s="690">
        <v>7131820033</v>
      </c>
      <c r="B355" s="686" t="s">
        <v>465</v>
      </c>
      <c r="C355" s="683" t="s">
        <v>897</v>
      </c>
      <c r="D355" s="687">
        <v>430</v>
      </c>
      <c r="E355" s="141"/>
    </row>
    <row r="356" spans="1:5" ht="15" customHeight="1">
      <c r="A356" s="690">
        <v>7131820034</v>
      </c>
      <c r="B356" s="686" t="s">
        <v>464</v>
      </c>
      <c r="C356" s="683" t="s">
        <v>897</v>
      </c>
      <c r="D356" s="687">
        <v>430</v>
      </c>
      <c r="E356" s="141"/>
    </row>
    <row r="357" spans="1:5" ht="25.5" customHeight="1">
      <c r="A357" s="690">
        <v>7131820035</v>
      </c>
      <c r="B357" s="686" t="s">
        <v>466</v>
      </c>
      <c r="C357" s="683" t="s">
        <v>897</v>
      </c>
      <c r="D357" s="687">
        <v>2865</v>
      </c>
      <c r="E357" s="141"/>
    </row>
    <row r="358" spans="1:5" ht="25.5">
      <c r="A358" s="690">
        <v>7131820036</v>
      </c>
      <c r="B358" s="686" t="s">
        <v>467</v>
      </c>
      <c r="C358" s="683" t="s">
        <v>897</v>
      </c>
      <c r="D358" s="687">
        <v>3104</v>
      </c>
      <c r="E358" s="141"/>
    </row>
    <row r="359" spans="1:5" ht="25.5">
      <c r="A359" s="690">
        <v>7131820037</v>
      </c>
      <c r="B359" s="686" t="s">
        <v>468</v>
      </c>
      <c r="C359" s="683" t="s">
        <v>897</v>
      </c>
      <c r="D359" s="687">
        <v>3104</v>
      </c>
      <c r="E359" s="141"/>
    </row>
    <row r="360" spans="1:5" ht="16.5" customHeight="1">
      <c r="A360" s="690">
        <v>7131820038</v>
      </c>
      <c r="B360" s="686" t="s">
        <v>469</v>
      </c>
      <c r="C360" s="683" t="s">
        <v>897</v>
      </c>
      <c r="D360" s="687">
        <v>2268</v>
      </c>
      <c r="E360" s="141"/>
    </row>
    <row r="361" spans="1:5" ht="16.5" customHeight="1">
      <c r="A361" s="690">
        <v>7131820039</v>
      </c>
      <c r="B361" s="686" t="s">
        <v>470</v>
      </c>
      <c r="C361" s="683" t="s">
        <v>897</v>
      </c>
      <c r="D361" s="687">
        <v>5193</v>
      </c>
      <c r="E361" s="141" t="s">
        <v>766</v>
      </c>
    </row>
    <row r="362" spans="1:5" ht="25.5">
      <c r="A362" s="688">
        <v>7131900005</v>
      </c>
      <c r="B362" s="678" t="s">
        <v>586</v>
      </c>
      <c r="C362" s="683" t="s">
        <v>897</v>
      </c>
      <c r="D362" s="687">
        <v>2114</v>
      </c>
      <c r="E362" s="232" t="s">
        <v>767</v>
      </c>
    </row>
    <row r="363" spans="1:5" ht="14.25">
      <c r="A363" s="118">
        <v>7131900005</v>
      </c>
      <c r="B363" s="141"/>
      <c r="C363" s="141"/>
      <c r="D363" s="165">
        <v>2603</v>
      </c>
      <c r="E363" s="232" t="s">
        <v>767</v>
      </c>
    </row>
    <row r="364" spans="1:5" ht="25.5">
      <c r="A364" s="697">
        <v>7131900033</v>
      </c>
      <c r="B364" s="694" t="s">
        <v>471</v>
      </c>
      <c r="C364" s="679" t="s">
        <v>1013</v>
      </c>
      <c r="D364" s="681">
        <v>7</v>
      </c>
      <c r="E364" s="232" t="s">
        <v>1216</v>
      </c>
    </row>
    <row r="365" spans="1:5" ht="17.25" customHeight="1">
      <c r="A365" s="690">
        <v>7131900071</v>
      </c>
      <c r="B365" s="686" t="s">
        <v>472</v>
      </c>
      <c r="C365" s="683" t="s">
        <v>897</v>
      </c>
      <c r="D365" s="700">
        <v>283</v>
      </c>
      <c r="E365" s="232" t="s">
        <v>1217</v>
      </c>
    </row>
    <row r="366" spans="1:5" ht="12.75">
      <c r="A366" s="690">
        <v>7131900072</v>
      </c>
      <c r="B366" s="686" t="s">
        <v>473</v>
      </c>
      <c r="C366" s="683" t="s">
        <v>897</v>
      </c>
      <c r="D366" s="700">
        <v>435</v>
      </c>
      <c r="E366" s="232" t="s">
        <v>1218</v>
      </c>
    </row>
    <row r="367" spans="1:5" ht="21" customHeight="1">
      <c r="A367" s="697">
        <v>7131900625</v>
      </c>
      <c r="B367" s="694" t="s">
        <v>475</v>
      </c>
      <c r="C367" s="679" t="s">
        <v>1013</v>
      </c>
      <c r="D367" s="681">
        <v>13</v>
      </c>
      <c r="E367" s="232" t="s">
        <v>1219</v>
      </c>
    </row>
    <row r="368" spans="1:5" ht="17.25" customHeight="1">
      <c r="A368" s="697">
        <v>7131900650</v>
      </c>
      <c r="B368" s="694" t="s">
        <v>476</v>
      </c>
      <c r="C368" s="679" t="s">
        <v>1013</v>
      </c>
      <c r="D368" s="681">
        <v>14</v>
      </c>
      <c r="E368" s="232" t="s">
        <v>1220</v>
      </c>
    </row>
    <row r="369" spans="1:5" ht="18" customHeight="1">
      <c r="A369" s="688">
        <v>7131900876</v>
      </c>
      <c r="B369" s="686" t="s">
        <v>478</v>
      </c>
      <c r="C369" s="683" t="s">
        <v>897</v>
      </c>
      <c r="D369" s="687">
        <v>279</v>
      </c>
      <c r="E369" s="232" t="s">
        <v>1221</v>
      </c>
    </row>
    <row r="370" spans="1:5" ht="18.75" customHeight="1">
      <c r="A370" s="690">
        <v>7131900876</v>
      </c>
      <c r="B370" s="686" t="s">
        <v>474</v>
      </c>
      <c r="C370" s="683" t="s">
        <v>897</v>
      </c>
      <c r="D370" s="700">
        <v>109</v>
      </c>
      <c r="E370" s="232" t="s">
        <v>1221</v>
      </c>
    </row>
    <row r="371" spans="1:5" ht="16.5" customHeight="1">
      <c r="A371" s="688">
        <v>7131900880</v>
      </c>
      <c r="B371" s="686" t="s">
        <v>477</v>
      </c>
      <c r="C371" s="683" t="s">
        <v>897</v>
      </c>
      <c r="D371" s="687">
        <v>701</v>
      </c>
      <c r="E371" s="232" t="s">
        <v>848</v>
      </c>
    </row>
    <row r="372" spans="1:5" ht="17.25" customHeight="1">
      <c r="A372" s="688">
        <v>7131900881</v>
      </c>
      <c r="B372" s="686" t="s">
        <v>479</v>
      </c>
      <c r="C372" s="683" t="s">
        <v>897</v>
      </c>
      <c r="D372" s="687">
        <v>775</v>
      </c>
      <c r="E372" s="232" t="s">
        <v>849</v>
      </c>
    </row>
    <row r="373" spans="1:5" ht="12.75">
      <c r="A373" s="679">
        <v>7131900969</v>
      </c>
      <c r="B373" s="694" t="s">
        <v>480</v>
      </c>
      <c r="C373" s="679" t="s">
        <v>32</v>
      </c>
      <c r="D373" s="681">
        <v>684</v>
      </c>
      <c r="E373" s="232" t="s">
        <v>850</v>
      </c>
    </row>
    <row r="374" spans="1:5" ht="12.75" customHeight="1">
      <c r="A374" s="679">
        <v>7131900971</v>
      </c>
      <c r="B374" s="694" t="s">
        <v>481</v>
      </c>
      <c r="C374" s="679" t="s">
        <v>32</v>
      </c>
      <c r="D374" s="681">
        <v>683</v>
      </c>
      <c r="E374" s="232" t="s">
        <v>851</v>
      </c>
    </row>
    <row r="375" spans="1:5" ht="15.75" customHeight="1">
      <c r="A375" s="679">
        <v>7131900973</v>
      </c>
      <c r="B375" s="694" t="s">
        <v>482</v>
      </c>
      <c r="C375" s="679" t="s">
        <v>32</v>
      </c>
      <c r="D375" s="681">
        <v>681</v>
      </c>
      <c r="E375" s="232" t="s">
        <v>852</v>
      </c>
    </row>
    <row r="376" spans="1:5" ht="12.75">
      <c r="A376" s="679">
        <v>7131900975</v>
      </c>
      <c r="B376" s="694" t="s">
        <v>69</v>
      </c>
      <c r="C376" s="679" t="s">
        <v>32</v>
      </c>
      <c r="D376" s="681">
        <v>674</v>
      </c>
      <c r="E376" s="232" t="s">
        <v>853</v>
      </c>
    </row>
    <row r="377" spans="1:5" ht="12.75" customHeight="1">
      <c r="A377" s="679">
        <v>7131900977</v>
      </c>
      <c r="B377" s="694" t="s">
        <v>70</v>
      </c>
      <c r="C377" s="679" t="s">
        <v>32</v>
      </c>
      <c r="D377" s="681">
        <v>671</v>
      </c>
      <c r="E377" s="232" t="s">
        <v>854</v>
      </c>
    </row>
    <row r="378" spans="1:5" ht="12.75">
      <c r="A378" s="679">
        <v>7131900979</v>
      </c>
      <c r="B378" s="694" t="s">
        <v>71</v>
      </c>
      <c r="C378" s="679" t="s">
        <v>32</v>
      </c>
      <c r="D378" s="681">
        <v>671</v>
      </c>
      <c r="E378" s="232" t="s">
        <v>855</v>
      </c>
    </row>
    <row r="379" spans="1:5" ht="12.75">
      <c r="A379" s="679">
        <v>7131900981</v>
      </c>
      <c r="B379" s="694" t="s">
        <v>72</v>
      </c>
      <c r="C379" s="679" t="s">
        <v>32</v>
      </c>
      <c r="D379" s="681">
        <v>672</v>
      </c>
      <c r="E379" s="232" t="s">
        <v>856</v>
      </c>
    </row>
    <row r="380" spans="1:5" ht="12.75">
      <c r="A380" s="688">
        <v>7131910653</v>
      </c>
      <c r="B380" s="686" t="s">
        <v>73</v>
      </c>
      <c r="C380" s="683" t="s">
        <v>897</v>
      </c>
      <c r="D380" s="687">
        <v>44</v>
      </c>
      <c r="E380" s="232" t="s">
        <v>857</v>
      </c>
    </row>
    <row r="381" spans="1:5" ht="15" customHeight="1">
      <c r="A381" s="688">
        <v>7131910654</v>
      </c>
      <c r="B381" s="686" t="s">
        <v>74</v>
      </c>
      <c r="C381" s="683" t="s">
        <v>897</v>
      </c>
      <c r="D381" s="687">
        <v>87</v>
      </c>
      <c r="E381" s="232" t="s">
        <v>858</v>
      </c>
    </row>
    <row r="382" spans="1:5" ht="18.75" customHeight="1">
      <c r="A382" s="690">
        <v>7131910655</v>
      </c>
      <c r="B382" s="686" t="s">
        <v>334</v>
      </c>
      <c r="C382" s="683" t="s">
        <v>897</v>
      </c>
      <c r="D382" s="687">
        <v>25</v>
      </c>
      <c r="E382" s="232" t="s">
        <v>53</v>
      </c>
    </row>
    <row r="383" spans="1:5" ht="12.75">
      <c r="A383" s="688">
        <v>7131910656</v>
      </c>
      <c r="B383" s="686" t="s">
        <v>335</v>
      </c>
      <c r="C383" s="683" t="s">
        <v>897</v>
      </c>
      <c r="D383" s="687">
        <v>269</v>
      </c>
      <c r="E383" s="232" t="s">
        <v>54</v>
      </c>
    </row>
    <row r="384" spans="1:5" ht="12.75">
      <c r="A384" s="688">
        <v>7131910657</v>
      </c>
      <c r="B384" s="686" t="s">
        <v>336</v>
      </c>
      <c r="C384" s="683" t="s">
        <v>897</v>
      </c>
      <c r="D384" s="687">
        <v>534</v>
      </c>
      <c r="E384" s="232" t="s">
        <v>55</v>
      </c>
    </row>
    <row r="385" spans="1:5" ht="12.75">
      <c r="A385" s="688">
        <v>7131910658</v>
      </c>
      <c r="B385" s="686" t="s">
        <v>337</v>
      </c>
      <c r="C385" s="683" t="s">
        <v>897</v>
      </c>
      <c r="D385" s="687">
        <v>964</v>
      </c>
      <c r="E385" s="232" t="s">
        <v>56</v>
      </c>
    </row>
    <row r="386" spans="1:5" ht="13.5" customHeight="1">
      <c r="A386" s="679">
        <v>7131920112</v>
      </c>
      <c r="B386" s="689" t="s">
        <v>587</v>
      </c>
      <c r="C386" s="679" t="s">
        <v>897</v>
      </c>
      <c r="D386" s="679">
        <v>248028</v>
      </c>
      <c r="E386" s="694" t="s">
        <v>57</v>
      </c>
    </row>
    <row r="387" spans="1:5" ht="12.75">
      <c r="A387" s="688">
        <v>7131920253</v>
      </c>
      <c r="B387" s="686" t="s">
        <v>338</v>
      </c>
      <c r="C387" s="683" t="s">
        <v>897</v>
      </c>
      <c r="D387" s="687">
        <v>681</v>
      </c>
      <c r="E387" s="232" t="s">
        <v>58</v>
      </c>
    </row>
    <row r="388" spans="1:18" ht="15" customHeight="1">
      <c r="A388" s="688">
        <v>7131920254</v>
      </c>
      <c r="B388" s="686" t="s">
        <v>339</v>
      </c>
      <c r="C388" s="683" t="s">
        <v>897</v>
      </c>
      <c r="D388" s="687">
        <v>1634</v>
      </c>
      <c r="E388" s="232" t="s">
        <v>59</v>
      </c>
      <c r="R388" s="2">
        <f>(13550-9794.56)/9794.56*100</f>
        <v>38.34210010454784</v>
      </c>
    </row>
    <row r="389" spans="1:18" ht="14.25" customHeight="1">
      <c r="A389" s="688">
        <v>7131920256</v>
      </c>
      <c r="B389" s="686" t="s">
        <v>340</v>
      </c>
      <c r="C389" s="683" t="s">
        <v>897</v>
      </c>
      <c r="D389" s="687">
        <v>3161</v>
      </c>
      <c r="E389" s="232" t="s">
        <v>60</v>
      </c>
      <c r="R389" s="2">
        <f>(20500-15293.6)/15293.6*100</f>
        <v>34.04299837840665</v>
      </c>
    </row>
    <row r="390" spans="1:18" ht="14.25" customHeight="1">
      <c r="A390" s="688">
        <v>7131920258</v>
      </c>
      <c r="B390" s="686" t="s">
        <v>341</v>
      </c>
      <c r="C390" s="683" t="s">
        <v>897</v>
      </c>
      <c r="D390" s="687">
        <v>4438</v>
      </c>
      <c r="E390" s="232" t="s">
        <v>61</v>
      </c>
      <c r="R390" s="2">
        <f>(33650-24258.16)/24258.16*100</f>
        <v>38.71620930853783</v>
      </c>
    </row>
    <row r="391" spans="1:18" ht="15.75" customHeight="1">
      <c r="A391" s="688">
        <v>7131920259</v>
      </c>
      <c r="B391" s="686" t="s">
        <v>342</v>
      </c>
      <c r="C391" s="683" t="s">
        <v>897</v>
      </c>
      <c r="D391" s="687">
        <v>6021</v>
      </c>
      <c r="E391" s="232" t="s">
        <v>62</v>
      </c>
      <c r="R391" s="2">
        <f>(51000-30258)/30258*100</f>
        <v>68.55046599246481</v>
      </c>
    </row>
    <row r="392" spans="1:18" ht="12.75" customHeight="1">
      <c r="A392" s="688">
        <v>7131920260</v>
      </c>
      <c r="B392" s="686" t="s">
        <v>343</v>
      </c>
      <c r="C392" s="683" t="s">
        <v>897</v>
      </c>
      <c r="D392" s="687">
        <v>9095</v>
      </c>
      <c r="E392" s="232" t="s">
        <v>63</v>
      </c>
      <c r="R392" s="2">
        <f>(67000-44299.43)/44299.43*100</f>
        <v>51.24348101092948</v>
      </c>
    </row>
    <row r="393" spans="1:6" ht="18" hidden="1">
      <c r="A393" s="774">
        <v>7131920767</v>
      </c>
      <c r="B393" s="763" t="s">
        <v>1008</v>
      </c>
      <c r="C393" s="762" t="s">
        <v>1013</v>
      </c>
      <c r="D393" s="765" t="s">
        <v>1242</v>
      </c>
      <c r="E393" s="766" t="s">
        <v>64</v>
      </c>
      <c r="F393" s="773"/>
    </row>
    <row r="394" spans="1:5" ht="12.75" customHeight="1">
      <c r="A394" s="690">
        <v>7131930109</v>
      </c>
      <c r="B394" s="686" t="s">
        <v>947</v>
      </c>
      <c r="C394" s="683" t="s">
        <v>897</v>
      </c>
      <c r="D394" s="687">
        <v>40392</v>
      </c>
      <c r="E394" s="232" t="s">
        <v>65</v>
      </c>
    </row>
    <row r="395" spans="1:5" ht="12.75">
      <c r="A395" s="688">
        <v>7131930221</v>
      </c>
      <c r="B395" s="686" t="s">
        <v>344</v>
      </c>
      <c r="C395" s="683" t="s">
        <v>897</v>
      </c>
      <c r="D395" s="687">
        <v>7750</v>
      </c>
      <c r="E395" s="232" t="s">
        <v>129</v>
      </c>
    </row>
    <row r="396" spans="1:5" ht="12.75">
      <c r="A396" s="679">
        <v>7131930221</v>
      </c>
      <c r="B396" s="678" t="s">
        <v>593</v>
      </c>
      <c r="C396" s="679" t="s">
        <v>1012</v>
      </c>
      <c r="D396" s="681">
        <v>12911</v>
      </c>
      <c r="E396" s="232" t="s">
        <v>129</v>
      </c>
    </row>
    <row r="397" spans="1:5" ht="12.75">
      <c r="A397" s="688">
        <v>7131930321</v>
      </c>
      <c r="B397" s="686" t="s">
        <v>345</v>
      </c>
      <c r="C397" s="683" t="s">
        <v>897</v>
      </c>
      <c r="D397" s="687">
        <v>18624</v>
      </c>
      <c r="E397" s="232" t="s">
        <v>130</v>
      </c>
    </row>
    <row r="398" spans="1:5" ht="12.75">
      <c r="A398" s="688">
        <v>7131930412</v>
      </c>
      <c r="B398" s="686" t="s">
        <v>346</v>
      </c>
      <c r="C398" s="683" t="s">
        <v>897</v>
      </c>
      <c r="D398" s="687">
        <v>1199</v>
      </c>
      <c r="E398" s="232" t="s">
        <v>131</v>
      </c>
    </row>
    <row r="399" spans="1:5" ht="12.75">
      <c r="A399" s="688">
        <v>7131930415</v>
      </c>
      <c r="B399" s="686" t="s">
        <v>347</v>
      </c>
      <c r="C399" s="683" t="s">
        <v>897</v>
      </c>
      <c r="D399" s="687">
        <v>2918</v>
      </c>
      <c r="E399" s="232" t="s">
        <v>132</v>
      </c>
    </row>
    <row r="400" spans="1:5" ht="12.75">
      <c r="A400" s="688">
        <v>7131930663</v>
      </c>
      <c r="B400" s="686" t="s">
        <v>946</v>
      </c>
      <c r="C400" s="683" t="s">
        <v>897</v>
      </c>
      <c r="D400" s="687">
        <v>20680</v>
      </c>
      <c r="E400" s="232" t="s">
        <v>133</v>
      </c>
    </row>
    <row r="401" spans="1:5" ht="25.5">
      <c r="A401" s="688">
        <v>7131930752</v>
      </c>
      <c r="B401" s="686" t="s">
        <v>1182</v>
      </c>
      <c r="C401" s="683" t="s">
        <v>897</v>
      </c>
      <c r="D401" s="687">
        <v>35789</v>
      </c>
      <c r="E401" s="232" t="s">
        <v>134</v>
      </c>
    </row>
    <row r="402" spans="1:5" ht="12.75">
      <c r="A402" s="688">
        <v>7131940602</v>
      </c>
      <c r="B402" s="686" t="s">
        <v>348</v>
      </c>
      <c r="C402" s="683" t="s">
        <v>897</v>
      </c>
      <c r="D402" s="687">
        <v>2387</v>
      </c>
      <c r="E402" s="141" t="s">
        <v>135</v>
      </c>
    </row>
    <row r="403" spans="1:5" ht="12.75">
      <c r="A403" s="688">
        <v>7131940610</v>
      </c>
      <c r="B403" s="686" t="s">
        <v>541</v>
      </c>
      <c r="C403" s="683" t="s">
        <v>897</v>
      </c>
      <c r="D403" s="687">
        <v>22680</v>
      </c>
      <c r="E403" s="141" t="s">
        <v>136</v>
      </c>
    </row>
    <row r="404" spans="1:5" ht="12.75">
      <c r="A404" s="688">
        <v>7131940612</v>
      </c>
      <c r="B404" s="686" t="s">
        <v>542</v>
      </c>
      <c r="C404" s="683" t="s">
        <v>897</v>
      </c>
      <c r="D404" s="687">
        <v>22680</v>
      </c>
      <c r="E404" s="141"/>
    </row>
    <row r="405" spans="1:5" ht="25.5">
      <c r="A405" s="688">
        <v>7131941762</v>
      </c>
      <c r="B405" s="707" t="s">
        <v>588</v>
      </c>
      <c r="C405" s="683" t="s">
        <v>897</v>
      </c>
      <c r="D405" s="687">
        <v>110737</v>
      </c>
      <c r="E405" s="141" t="s">
        <v>137</v>
      </c>
    </row>
    <row r="406" spans="1:5" ht="25.5">
      <c r="A406" s="688">
        <v>7131943380</v>
      </c>
      <c r="B406" s="707" t="s">
        <v>941</v>
      </c>
      <c r="C406" s="683" t="s">
        <v>897</v>
      </c>
      <c r="D406" s="687">
        <v>226584</v>
      </c>
      <c r="E406" s="141" t="s">
        <v>138</v>
      </c>
    </row>
    <row r="407" spans="1:6" ht="18" hidden="1">
      <c r="A407" s="764">
        <v>7131950009</v>
      </c>
      <c r="B407" s="763" t="s">
        <v>861</v>
      </c>
      <c r="C407" s="764" t="s">
        <v>897</v>
      </c>
      <c r="D407" s="765" t="s">
        <v>1242</v>
      </c>
      <c r="E407" s="771" t="s">
        <v>139</v>
      </c>
      <c r="F407" s="773"/>
    </row>
    <row r="408" spans="1:5" ht="41.25" customHeight="1">
      <c r="A408" s="683">
        <v>7131950010</v>
      </c>
      <c r="B408" s="686" t="s">
        <v>655</v>
      </c>
      <c r="C408" s="683" t="s">
        <v>897</v>
      </c>
      <c r="D408" s="687">
        <v>1147</v>
      </c>
      <c r="E408" s="141" t="s">
        <v>140</v>
      </c>
    </row>
    <row r="409" spans="1:6" ht="19.5" customHeight="1" hidden="1">
      <c r="A409" s="764">
        <v>7131950011</v>
      </c>
      <c r="B409" s="763" t="s">
        <v>862</v>
      </c>
      <c r="C409" s="764" t="s">
        <v>897</v>
      </c>
      <c r="D409" s="765" t="s">
        <v>1242</v>
      </c>
      <c r="E409" s="771" t="s">
        <v>141</v>
      </c>
      <c r="F409" s="773"/>
    </row>
    <row r="410" spans="1:5" ht="39.75" customHeight="1">
      <c r="A410" s="683">
        <v>7131950012</v>
      </c>
      <c r="B410" s="686" t="s">
        <v>252</v>
      </c>
      <c r="C410" s="683" t="s">
        <v>897</v>
      </c>
      <c r="D410" s="687">
        <v>1355</v>
      </c>
      <c r="E410" s="141" t="s">
        <v>142</v>
      </c>
    </row>
    <row r="411" spans="1:6" ht="15.75" customHeight="1" hidden="1">
      <c r="A411" s="764">
        <v>7131950013</v>
      </c>
      <c r="B411" s="763" t="s">
        <v>863</v>
      </c>
      <c r="C411" s="764" t="s">
        <v>897</v>
      </c>
      <c r="D411" s="765" t="s">
        <v>1242</v>
      </c>
      <c r="E411" s="771" t="s">
        <v>143</v>
      </c>
      <c r="F411" s="773"/>
    </row>
    <row r="412" spans="1:5" ht="42" customHeight="1">
      <c r="A412" s="690">
        <v>7131950015</v>
      </c>
      <c r="B412" s="686" t="s">
        <v>699</v>
      </c>
      <c r="C412" s="683" t="s">
        <v>897</v>
      </c>
      <c r="D412" s="687">
        <v>57208</v>
      </c>
      <c r="E412" s="141"/>
    </row>
    <row r="413" spans="1:5" ht="17.25" customHeight="1">
      <c r="A413" s="690">
        <v>7131950016</v>
      </c>
      <c r="B413" s="686" t="s">
        <v>945</v>
      </c>
      <c r="C413" s="683" t="s">
        <v>897</v>
      </c>
      <c r="D413" s="687">
        <v>345600</v>
      </c>
      <c r="E413" s="141"/>
    </row>
    <row r="414" spans="1:5" ht="42" customHeight="1">
      <c r="A414" s="688">
        <v>7131950065</v>
      </c>
      <c r="B414" s="686" t="s">
        <v>768</v>
      </c>
      <c r="C414" s="683" t="s">
        <v>897</v>
      </c>
      <c r="D414" s="687">
        <v>13758</v>
      </c>
      <c r="E414" s="232" t="s">
        <v>144</v>
      </c>
    </row>
    <row r="415" spans="1:5" ht="40.5" customHeight="1">
      <c r="A415" s="683">
        <v>7131950105</v>
      </c>
      <c r="B415" s="686" t="s">
        <v>769</v>
      </c>
      <c r="C415" s="683" t="s">
        <v>897</v>
      </c>
      <c r="D415" s="687">
        <v>17198</v>
      </c>
      <c r="E415" s="232" t="s">
        <v>145</v>
      </c>
    </row>
    <row r="416" spans="1:5" ht="29.25" customHeight="1">
      <c r="A416" s="688">
        <v>7131950200</v>
      </c>
      <c r="B416" s="686" t="s">
        <v>770</v>
      </c>
      <c r="C416" s="683" t="s">
        <v>897</v>
      </c>
      <c r="D416" s="687">
        <v>34396</v>
      </c>
      <c r="E416" s="232" t="s">
        <v>146</v>
      </c>
    </row>
    <row r="417" spans="1:5" ht="29.25" customHeight="1">
      <c r="A417" s="688">
        <v>7131950207</v>
      </c>
      <c r="B417" s="686" t="s">
        <v>771</v>
      </c>
      <c r="C417" s="683" t="s">
        <v>897</v>
      </c>
      <c r="D417" s="687">
        <v>45861</v>
      </c>
      <c r="E417" s="232" t="s">
        <v>147</v>
      </c>
    </row>
    <row r="418" spans="1:5" ht="29.25" customHeight="1">
      <c r="A418" s="683">
        <v>7131960006</v>
      </c>
      <c r="B418" s="707" t="s">
        <v>944</v>
      </c>
      <c r="C418" s="683" t="s">
        <v>897</v>
      </c>
      <c r="D418" s="687">
        <v>26078</v>
      </c>
      <c r="E418" s="232" t="s">
        <v>148</v>
      </c>
    </row>
    <row r="419" spans="1:5" ht="25.5">
      <c r="A419" s="683">
        <v>7131960007</v>
      </c>
      <c r="B419" s="707" t="s">
        <v>943</v>
      </c>
      <c r="C419" s="683" t="s">
        <v>897</v>
      </c>
      <c r="D419" s="687">
        <v>28850</v>
      </c>
      <c r="E419" s="232" t="s">
        <v>149</v>
      </c>
    </row>
    <row r="420" spans="1:5" ht="12.75">
      <c r="A420" s="688">
        <v>7131960008</v>
      </c>
      <c r="B420" s="686" t="s">
        <v>589</v>
      </c>
      <c r="C420" s="683" t="s">
        <v>897</v>
      </c>
      <c r="D420" s="687">
        <v>26331</v>
      </c>
      <c r="E420" s="232" t="s">
        <v>150</v>
      </c>
    </row>
    <row r="421" spans="1:5" ht="12.75">
      <c r="A421" s="683">
        <v>7131960009</v>
      </c>
      <c r="B421" s="686" t="s">
        <v>590</v>
      </c>
      <c r="C421" s="683" t="s">
        <v>897</v>
      </c>
      <c r="D421" s="687">
        <v>26995</v>
      </c>
      <c r="E421" s="232" t="s">
        <v>151</v>
      </c>
    </row>
    <row r="422" spans="1:5" ht="18.75" customHeight="1">
      <c r="A422" s="683">
        <v>7131960520</v>
      </c>
      <c r="B422" s="686" t="s">
        <v>591</v>
      </c>
      <c r="C422" s="683" t="s">
        <v>897</v>
      </c>
      <c r="D422" s="687">
        <v>39700</v>
      </c>
      <c r="E422" s="232" t="s">
        <v>152</v>
      </c>
    </row>
    <row r="423" spans="1:5" ht="28.5" customHeight="1">
      <c r="A423" s="683">
        <v>7131960522</v>
      </c>
      <c r="B423" s="686" t="s">
        <v>1404</v>
      </c>
      <c r="C423" s="683" t="s">
        <v>897</v>
      </c>
      <c r="D423" s="687">
        <v>39815</v>
      </c>
      <c r="E423" s="232" t="s">
        <v>153</v>
      </c>
    </row>
    <row r="424" spans="1:5" ht="28.5" customHeight="1">
      <c r="A424" s="683">
        <v>7131960524</v>
      </c>
      <c r="B424" s="686" t="s">
        <v>942</v>
      </c>
      <c r="C424" s="683" t="s">
        <v>897</v>
      </c>
      <c r="D424" s="687">
        <v>39815</v>
      </c>
      <c r="E424" s="232" t="s">
        <v>154</v>
      </c>
    </row>
    <row r="425" spans="1:5" ht="44.25" customHeight="1">
      <c r="A425" s="692">
        <v>7132002234</v>
      </c>
      <c r="B425" s="691" t="s">
        <v>1423</v>
      </c>
      <c r="C425" s="675" t="s">
        <v>695</v>
      </c>
      <c r="D425" s="695">
        <v>184</v>
      </c>
      <c r="E425" s="232"/>
    </row>
    <row r="426" spans="1:5" ht="29.25" customHeight="1">
      <c r="A426" s="692">
        <v>7132004003</v>
      </c>
      <c r="B426" s="691" t="s">
        <v>1412</v>
      </c>
      <c r="C426" s="675" t="s">
        <v>695</v>
      </c>
      <c r="D426" s="695">
        <v>119</v>
      </c>
      <c r="E426" s="232"/>
    </row>
    <row r="427" spans="1:5" ht="15" customHeight="1">
      <c r="A427" s="692">
        <v>7132004004</v>
      </c>
      <c r="B427" s="691" t="s">
        <v>802</v>
      </c>
      <c r="C427" s="675" t="s">
        <v>695</v>
      </c>
      <c r="D427" s="695">
        <v>10</v>
      </c>
      <c r="E427" s="232"/>
    </row>
    <row r="428" spans="1:5" ht="14.25" customHeight="1">
      <c r="A428" s="706">
        <v>7132013331</v>
      </c>
      <c r="B428" s="691" t="s">
        <v>1415</v>
      </c>
      <c r="C428" s="675" t="s">
        <v>695</v>
      </c>
      <c r="D428" s="687">
        <v>515</v>
      </c>
      <c r="E428" s="232" t="s">
        <v>155</v>
      </c>
    </row>
    <row r="429" spans="1:5" ht="16.5" customHeight="1">
      <c r="A429" s="692">
        <v>7132014014</v>
      </c>
      <c r="B429" s="691" t="s">
        <v>712</v>
      </c>
      <c r="C429" s="675" t="s">
        <v>695</v>
      </c>
      <c r="D429" s="695">
        <v>2700</v>
      </c>
      <c r="E429" s="232"/>
    </row>
    <row r="430" spans="1:5" ht="20.25" customHeight="1">
      <c r="A430" s="692">
        <v>7132028159</v>
      </c>
      <c r="B430" s="691" t="s">
        <v>1421</v>
      </c>
      <c r="C430" s="675" t="s">
        <v>695</v>
      </c>
      <c r="D430" s="695">
        <v>989</v>
      </c>
      <c r="E430" s="232"/>
    </row>
    <row r="431" spans="1:5" ht="20.25" customHeight="1">
      <c r="A431" s="692">
        <v>7132028160</v>
      </c>
      <c r="B431" s="691" t="s">
        <v>1422</v>
      </c>
      <c r="C431" s="675" t="s">
        <v>695</v>
      </c>
      <c r="D431" s="695">
        <v>306</v>
      </c>
      <c r="E431" s="232"/>
    </row>
    <row r="432" spans="1:5" ht="17.25" customHeight="1">
      <c r="A432" s="706">
        <v>7132061858</v>
      </c>
      <c r="B432" s="691" t="s">
        <v>333</v>
      </c>
      <c r="C432" s="675" t="s">
        <v>695</v>
      </c>
      <c r="D432" s="695">
        <v>204</v>
      </c>
      <c r="E432" s="232" t="s">
        <v>156</v>
      </c>
    </row>
    <row r="433" spans="1:5" ht="20.25" customHeight="1">
      <c r="A433" s="692">
        <v>7132072006</v>
      </c>
      <c r="B433" s="691" t="s">
        <v>1418</v>
      </c>
      <c r="C433" s="675" t="s">
        <v>695</v>
      </c>
      <c r="D433" s="695">
        <v>66</v>
      </c>
      <c r="E433" s="232" t="s">
        <v>157</v>
      </c>
    </row>
    <row r="434" spans="1:5" ht="20.25" customHeight="1">
      <c r="A434" s="692">
        <v>7132072007</v>
      </c>
      <c r="B434" s="691" t="s">
        <v>1419</v>
      </c>
      <c r="C434" s="675" t="s">
        <v>695</v>
      </c>
      <c r="D434" s="695">
        <v>62</v>
      </c>
      <c r="E434" s="232" t="s">
        <v>158</v>
      </c>
    </row>
    <row r="435" spans="1:5" ht="18.75" customHeight="1">
      <c r="A435" s="692">
        <v>7132072008</v>
      </c>
      <c r="B435" s="691" t="s">
        <v>1420</v>
      </c>
      <c r="C435" s="675" t="s">
        <v>695</v>
      </c>
      <c r="D435" s="695">
        <v>57</v>
      </c>
      <c r="E435" s="232" t="s">
        <v>533</v>
      </c>
    </row>
    <row r="436" spans="1:5" ht="16.5" customHeight="1">
      <c r="A436" s="706">
        <v>7132072522</v>
      </c>
      <c r="B436" s="691" t="s">
        <v>1417</v>
      </c>
      <c r="C436" s="675" t="s">
        <v>695</v>
      </c>
      <c r="D436" s="695">
        <v>743</v>
      </c>
      <c r="E436" s="232" t="s">
        <v>534</v>
      </c>
    </row>
    <row r="437" spans="1:5" ht="42.75" customHeight="1">
      <c r="A437" s="692">
        <v>7132074032</v>
      </c>
      <c r="B437" s="691" t="s">
        <v>1407</v>
      </c>
      <c r="C437" s="675" t="s">
        <v>753</v>
      </c>
      <c r="D437" s="695">
        <v>1430</v>
      </c>
      <c r="E437" s="232" t="s">
        <v>535</v>
      </c>
    </row>
    <row r="438" spans="1:5" ht="15.75" customHeight="1">
      <c r="A438" s="692">
        <v>7132074033</v>
      </c>
      <c r="B438" s="691" t="s">
        <v>1408</v>
      </c>
      <c r="C438" s="675" t="s">
        <v>753</v>
      </c>
      <c r="D438" s="695">
        <v>591</v>
      </c>
      <c r="E438" s="232"/>
    </row>
    <row r="439" spans="1:5" ht="42.75" customHeight="1">
      <c r="A439" s="692">
        <v>7132074034</v>
      </c>
      <c r="B439" s="691" t="s">
        <v>1411</v>
      </c>
      <c r="C439" s="675" t="s">
        <v>753</v>
      </c>
      <c r="D439" s="695">
        <v>676</v>
      </c>
      <c r="E439" s="232" t="s">
        <v>536</v>
      </c>
    </row>
    <row r="440" spans="1:5" ht="27.75" customHeight="1">
      <c r="A440" s="692">
        <v>7132074035</v>
      </c>
      <c r="B440" s="691" t="s">
        <v>1256</v>
      </c>
      <c r="C440" s="675" t="s">
        <v>695</v>
      </c>
      <c r="D440" s="695">
        <v>439</v>
      </c>
      <c r="E440" s="232"/>
    </row>
    <row r="441" spans="1:5" ht="28.5" customHeight="1">
      <c r="A441" s="692">
        <v>7132074036</v>
      </c>
      <c r="B441" s="691" t="s">
        <v>1424</v>
      </c>
      <c r="C441" s="675" t="s">
        <v>753</v>
      </c>
      <c r="D441" s="695">
        <v>1303</v>
      </c>
      <c r="E441" s="232" t="s">
        <v>537</v>
      </c>
    </row>
    <row r="442" spans="1:5" ht="16.5" customHeight="1">
      <c r="A442" s="692">
        <v>7132088614</v>
      </c>
      <c r="B442" s="691" t="s">
        <v>1409</v>
      </c>
      <c r="C442" s="675" t="s">
        <v>695</v>
      </c>
      <c r="D442" s="695">
        <v>1086</v>
      </c>
      <c r="E442" s="232"/>
    </row>
    <row r="443" spans="1:5" ht="15.75" customHeight="1">
      <c r="A443" s="692">
        <v>7132088615</v>
      </c>
      <c r="B443" s="691" t="s">
        <v>1410</v>
      </c>
      <c r="C443" s="675" t="s">
        <v>695</v>
      </c>
      <c r="D443" s="695">
        <v>596</v>
      </c>
      <c r="E443" s="232"/>
    </row>
    <row r="444" spans="1:5" ht="40.5" customHeight="1">
      <c r="A444" s="690">
        <v>7132200014</v>
      </c>
      <c r="B444" s="686" t="s">
        <v>1187</v>
      </c>
      <c r="C444" s="683" t="s">
        <v>897</v>
      </c>
      <c r="D444" s="700">
        <v>135369</v>
      </c>
      <c r="E444" s="232" t="s">
        <v>538</v>
      </c>
    </row>
    <row r="445" spans="1:5" ht="19.5" customHeight="1">
      <c r="A445" s="683">
        <v>7132200812</v>
      </c>
      <c r="B445" s="686" t="s">
        <v>1183</v>
      </c>
      <c r="C445" s="683" t="s">
        <v>897</v>
      </c>
      <c r="D445" s="687">
        <v>1628</v>
      </c>
      <c r="E445" s="232" t="s">
        <v>539</v>
      </c>
    </row>
    <row r="446" spans="1:5" ht="19.5" customHeight="1">
      <c r="A446" s="683">
        <v>7132200813</v>
      </c>
      <c r="B446" s="678" t="s">
        <v>1184</v>
      </c>
      <c r="C446" s="683" t="s">
        <v>897</v>
      </c>
      <c r="D446" s="687">
        <v>3254</v>
      </c>
      <c r="E446" s="232" t="s">
        <v>539</v>
      </c>
    </row>
    <row r="447" spans="1:5" ht="19.5" customHeight="1">
      <c r="A447" s="683">
        <v>7132200814</v>
      </c>
      <c r="B447" s="678" t="s">
        <v>1185</v>
      </c>
      <c r="C447" s="683" t="s">
        <v>897</v>
      </c>
      <c r="D447" s="687">
        <v>3910</v>
      </c>
      <c r="E447" s="232" t="s">
        <v>539</v>
      </c>
    </row>
    <row r="448" spans="1:5" ht="19.5" customHeight="1">
      <c r="A448" s="683">
        <v>7132200815</v>
      </c>
      <c r="B448" s="678" t="s">
        <v>1186</v>
      </c>
      <c r="C448" s="683" t="s">
        <v>897</v>
      </c>
      <c r="D448" s="687">
        <v>6490</v>
      </c>
      <c r="E448" s="232" t="s">
        <v>539</v>
      </c>
    </row>
    <row r="449" spans="1:5" ht="119.25" customHeight="1">
      <c r="A449" s="688">
        <v>7132200826</v>
      </c>
      <c r="B449" s="686" t="s">
        <v>722</v>
      </c>
      <c r="C449" s="683" t="s">
        <v>897</v>
      </c>
      <c r="D449" s="700">
        <v>179001</v>
      </c>
      <c r="E449" s="232" t="s">
        <v>540</v>
      </c>
    </row>
    <row r="450" spans="1:7" ht="18" customHeight="1">
      <c r="A450" s="675">
        <v>7132210007</v>
      </c>
      <c r="B450" s="686" t="s">
        <v>915</v>
      </c>
      <c r="C450" s="683" t="s">
        <v>897</v>
      </c>
      <c r="D450" s="695">
        <v>44836</v>
      </c>
      <c r="E450" s="232" t="s">
        <v>1342</v>
      </c>
      <c r="F450" s="69"/>
      <c r="G450" s="69"/>
    </row>
    <row r="451" spans="1:7" ht="15.75" customHeight="1">
      <c r="A451" s="675">
        <v>7132210008</v>
      </c>
      <c r="B451" s="686" t="s">
        <v>916</v>
      </c>
      <c r="C451" s="683" t="s">
        <v>897</v>
      </c>
      <c r="D451" s="695">
        <v>54268</v>
      </c>
      <c r="E451" s="232" t="s">
        <v>1343</v>
      </c>
      <c r="F451" s="69"/>
      <c r="G451" s="69"/>
    </row>
    <row r="452" spans="1:7" ht="18" customHeight="1">
      <c r="A452" s="675">
        <v>7132210009</v>
      </c>
      <c r="B452" s="686" t="s">
        <v>917</v>
      </c>
      <c r="C452" s="683" t="s">
        <v>897</v>
      </c>
      <c r="D452" s="687">
        <v>88254</v>
      </c>
      <c r="E452" s="232" t="s">
        <v>322</v>
      </c>
      <c r="F452" s="59"/>
      <c r="G452" s="59"/>
    </row>
    <row r="453" spans="1:5" ht="19.5" customHeight="1" hidden="1">
      <c r="A453" s="762">
        <v>7132210009</v>
      </c>
      <c r="B453" s="763" t="s">
        <v>917</v>
      </c>
      <c r="C453" s="764" t="s">
        <v>897</v>
      </c>
      <c r="D453" s="772" t="s">
        <v>594</v>
      </c>
      <c r="E453" s="766" t="s">
        <v>322</v>
      </c>
    </row>
    <row r="454" spans="1:7" ht="16.5" customHeight="1">
      <c r="A454" s="675">
        <v>7132210010</v>
      </c>
      <c r="B454" s="686" t="s">
        <v>918</v>
      </c>
      <c r="C454" s="683" t="s">
        <v>897</v>
      </c>
      <c r="D454" s="695">
        <v>119054</v>
      </c>
      <c r="E454" s="232" t="s">
        <v>323</v>
      </c>
      <c r="F454" s="59"/>
      <c r="G454" s="59"/>
    </row>
    <row r="455" spans="1:7" ht="18" customHeight="1">
      <c r="A455" s="675">
        <v>7132210011</v>
      </c>
      <c r="B455" s="686" t="s">
        <v>919</v>
      </c>
      <c r="C455" s="683" t="s">
        <v>897</v>
      </c>
      <c r="D455" s="695">
        <v>220748</v>
      </c>
      <c r="E455" s="232" t="s">
        <v>324</v>
      </c>
      <c r="F455" s="59"/>
      <c r="G455" s="59"/>
    </row>
    <row r="456" spans="1:7" ht="16.5" customHeight="1">
      <c r="A456" s="675">
        <v>7132210012</v>
      </c>
      <c r="B456" s="686" t="s">
        <v>930</v>
      </c>
      <c r="C456" s="683" t="s">
        <v>897</v>
      </c>
      <c r="D456" s="695">
        <v>423239</v>
      </c>
      <c r="E456" s="232" t="s">
        <v>325</v>
      </c>
      <c r="F456" s="59"/>
      <c r="G456" s="59"/>
    </row>
    <row r="457" spans="1:7" ht="18" customHeight="1">
      <c r="A457" s="683">
        <v>7132210077</v>
      </c>
      <c r="B457" s="686" t="s">
        <v>932</v>
      </c>
      <c r="C457" s="683" t="s">
        <v>897</v>
      </c>
      <c r="D457" s="695">
        <v>25351</v>
      </c>
      <c r="E457" s="232" t="s">
        <v>326</v>
      </c>
      <c r="F457" s="59"/>
      <c r="G457" s="59"/>
    </row>
    <row r="458" spans="1:7" ht="18" customHeight="1">
      <c r="A458" s="683">
        <v>7132210078</v>
      </c>
      <c r="B458" s="686" t="s">
        <v>933</v>
      </c>
      <c r="C458" s="683" t="s">
        <v>897</v>
      </c>
      <c r="D458" s="695">
        <v>36194</v>
      </c>
      <c r="E458" s="232" t="s">
        <v>1222</v>
      </c>
      <c r="F458" s="59"/>
      <c r="G458" s="59"/>
    </row>
    <row r="459" spans="1:7" ht="15" customHeight="1" hidden="1">
      <c r="A459" s="762">
        <v>7132210079</v>
      </c>
      <c r="B459" s="763" t="s">
        <v>920</v>
      </c>
      <c r="C459" s="764" t="s">
        <v>897</v>
      </c>
      <c r="D459" s="765" t="s">
        <v>1242</v>
      </c>
      <c r="E459" s="766" t="s">
        <v>1223</v>
      </c>
      <c r="F459" s="765"/>
      <c r="G459" s="59"/>
    </row>
    <row r="460" spans="1:6" ht="25.5" customHeight="1" hidden="1">
      <c r="A460" s="762">
        <v>7132210107</v>
      </c>
      <c r="B460" s="767" t="s">
        <v>725</v>
      </c>
      <c r="C460" s="762" t="s">
        <v>26</v>
      </c>
      <c r="D460" s="765" t="s">
        <v>1242</v>
      </c>
      <c r="E460" s="766" t="s">
        <v>1224</v>
      </c>
      <c r="F460" s="765"/>
    </row>
    <row r="461" spans="1:7" ht="14.25" customHeight="1" hidden="1">
      <c r="A461" s="768">
        <v>7132210108</v>
      </c>
      <c r="B461" s="769" t="s">
        <v>921</v>
      </c>
      <c r="C461" s="770" t="s">
        <v>897</v>
      </c>
      <c r="D461" s="765" t="s">
        <v>1242</v>
      </c>
      <c r="E461" s="771" t="s">
        <v>1225</v>
      </c>
      <c r="F461" s="765"/>
      <c r="G461" s="59"/>
    </row>
    <row r="462" spans="1:7" ht="14.25" customHeight="1" hidden="1">
      <c r="A462" s="768">
        <v>7132210109</v>
      </c>
      <c r="B462" s="769" t="s">
        <v>925</v>
      </c>
      <c r="C462" s="770" t="s">
        <v>897</v>
      </c>
      <c r="D462" s="765" t="s">
        <v>1242</v>
      </c>
      <c r="E462" s="771" t="s">
        <v>1226</v>
      </c>
      <c r="F462" s="765"/>
      <c r="G462" s="59"/>
    </row>
    <row r="463" spans="1:7" ht="14.25" customHeight="1" hidden="1">
      <c r="A463" s="768">
        <v>7132210116</v>
      </c>
      <c r="B463" s="769" t="s">
        <v>922</v>
      </c>
      <c r="C463" s="770" t="s">
        <v>897</v>
      </c>
      <c r="D463" s="765" t="s">
        <v>1242</v>
      </c>
      <c r="E463" s="771" t="s">
        <v>1227</v>
      </c>
      <c r="F463" s="765"/>
      <c r="G463" s="59"/>
    </row>
    <row r="464" spans="1:7" ht="14.25" customHeight="1" hidden="1">
      <c r="A464" s="768">
        <v>7132210117</v>
      </c>
      <c r="B464" s="769" t="s">
        <v>923</v>
      </c>
      <c r="C464" s="770" t="s">
        <v>897</v>
      </c>
      <c r="D464" s="765" t="s">
        <v>1242</v>
      </c>
      <c r="E464" s="771" t="s">
        <v>1228</v>
      </c>
      <c r="F464" s="765"/>
      <c r="G464" s="59"/>
    </row>
    <row r="465" spans="1:7" ht="14.25" customHeight="1" hidden="1">
      <c r="A465" s="768">
        <v>7132210118</v>
      </c>
      <c r="B465" s="769" t="s">
        <v>928</v>
      </c>
      <c r="C465" s="770" t="s">
        <v>897</v>
      </c>
      <c r="D465" s="765" t="s">
        <v>1242</v>
      </c>
      <c r="E465" s="771" t="s">
        <v>1229</v>
      </c>
      <c r="F465" s="765"/>
      <c r="G465" s="59"/>
    </row>
    <row r="466" spans="1:7" ht="14.25" customHeight="1" hidden="1">
      <c r="A466" s="768">
        <v>7132210120</v>
      </c>
      <c r="B466" s="769" t="s">
        <v>924</v>
      </c>
      <c r="C466" s="770" t="s">
        <v>897</v>
      </c>
      <c r="D466" s="765" t="s">
        <v>1242</v>
      </c>
      <c r="E466" s="771" t="s">
        <v>1230</v>
      </c>
      <c r="F466" s="765"/>
      <c r="G466" s="59"/>
    </row>
    <row r="467" spans="1:7" ht="14.25" customHeight="1" hidden="1">
      <c r="A467" s="768">
        <v>7132210125</v>
      </c>
      <c r="B467" s="769" t="s">
        <v>929</v>
      </c>
      <c r="C467" s="770" t="s">
        <v>897</v>
      </c>
      <c r="D467" s="765" t="s">
        <v>1242</v>
      </c>
      <c r="E467" s="771" t="s">
        <v>1231</v>
      </c>
      <c r="F467" s="765"/>
      <c r="G467" s="59"/>
    </row>
    <row r="468" spans="1:7" ht="14.25">
      <c r="A468" s="677">
        <v>7132210127</v>
      </c>
      <c r="B468" s="678" t="s">
        <v>931</v>
      </c>
      <c r="C468" s="679" t="s">
        <v>897</v>
      </c>
      <c r="D468" s="680">
        <v>538012</v>
      </c>
      <c r="E468" s="141" t="s">
        <v>1232</v>
      </c>
      <c r="F468" s="59"/>
      <c r="G468" s="59"/>
    </row>
    <row r="469" spans="1:7" ht="14.25">
      <c r="A469" s="679">
        <v>7132210215</v>
      </c>
      <c r="B469" s="678" t="s">
        <v>934</v>
      </c>
      <c r="C469" s="679" t="s">
        <v>897</v>
      </c>
      <c r="D469" s="681">
        <v>146905</v>
      </c>
      <c r="E469" s="141" t="s">
        <v>1233</v>
      </c>
      <c r="F469" s="59"/>
      <c r="G469" s="59"/>
    </row>
    <row r="470" spans="1:7" ht="15.75" customHeight="1" hidden="1">
      <c r="A470" s="762">
        <v>7132210231</v>
      </c>
      <c r="B470" s="763" t="s">
        <v>926</v>
      </c>
      <c r="C470" s="764" t="s">
        <v>897</v>
      </c>
      <c r="D470" s="765" t="s">
        <v>1242</v>
      </c>
      <c r="E470" s="766" t="s">
        <v>1234</v>
      </c>
      <c r="F470" s="765"/>
      <c r="G470" s="59"/>
    </row>
    <row r="471" spans="1:7" ht="14.25" hidden="1">
      <c r="A471" s="762">
        <v>7132210234</v>
      </c>
      <c r="B471" s="763" t="s">
        <v>927</v>
      </c>
      <c r="C471" s="764" t="s">
        <v>897</v>
      </c>
      <c r="D471" s="765" t="s">
        <v>1242</v>
      </c>
      <c r="E471" s="766" t="s">
        <v>1235</v>
      </c>
      <c r="F471" s="765"/>
      <c r="G471" s="59"/>
    </row>
    <row r="472" spans="1:5" ht="12.75">
      <c r="A472" s="688">
        <v>7132220091</v>
      </c>
      <c r="B472" s="686" t="s">
        <v>760</v>
      </c>
      <c r="C472" s="683" t="s">
        <v>897</v>
      </c>
      <c r="D472" s="700">
        <v>841136</v>
      </c>
      <c r="E472" s="232" t="s">
        <v>1236</v>
      </c>
    </row>
    <row r="473" spans="1:5" ht="12.75">
      <c r="A473" s="688">
        <v>7132220095</v>
      </c>
      <c r="B473" s="686" t="s">
        <v>1257</v>
      </c>
      <c r="C473" s="683" t="s">
        <v>897</v>
      </c>
      <c r="D473" s="687">
        <v>2112952</v>
      </c>
      <c r="E473" s="232" t="s">
        <v>1237</v>
      </c>
    </row>
    <row r="474" spans="1:5" ht="16.5" customHeight="1">
      <c r="A474" s="688">
        <v>7132220097</v>
      </c>
      <c r="B474" s="686" t="s">
        <v>1258</v>
      </c>
      <c r="C474" s="683" t="s">
        <v>897</v>
      </c>
      <c r="D474" s="687">
        <v>3010759</v>
      </c>
      <c r="E474" s="232" t="s">
        <v>1238</v>
      </c>
    </row>
    <row r="475" spans="1:5" ht="25.5">
      <c r="A475" s="693">
        <v>7132230015</v>
      </c>
      <c r="B475" s="686" t="s">
        <v>1259</v>
      </c>
      <c r="C475" s="683" t="s">
        <v>897</v>
      </c>
      <c r="D475" s="687">
        <v>241090</v>
      </c>
      <c r="E475" s="232" t="s">
        <v>1239</v>
      </c>
    </row>
    <row r="476" spans="1:5" ht="12.75">
      <c r="A476" s="688">
        <v>7132230016</v>
      </c>
      <c r="B476" s="686" t="s">
        <v>1260</v>
      </c>
      <c r="C476" s="683" t="s">
        <v>897</v>
      </c>
      <c r="D476" s="687">
        <v>335</v>
      </c>
      <c r="E476" s="232" t="s">
        <v>1240</v>
      </c>
    </row>
    <row r="477" spans="1:5" ht="25.5">
      <c r="A477" s="693">
        <v>7132230017</v>
      </c>
      <c r="B477" s="686" t="s">
        <v>1295</v>
      </c>
      <c r="C477" s="683" t="s">
        <v>897</v>
      </c>
      <c r="D477" s="687">
        <v>222386</v>
      </c>
      <c r="E477" s="232" t="s">
        <v>1243</v>
      </c>
    </row>
    <row r="478" spans="1:5" ht="12.75" customHeight="1">
      <c r="A478" s="688">
        <v>7132230019</v>
      </c>
      <c r="B478" s="686" t="s">
        <v>1261</v>
      </c>
      <c r="C478" s="683" t="s">
        <v>897</v>
      </c>
      <c r="D478" s="687">
        <v>335</v>
      </c>
      <c r="E478" s="232" t="s">
        <v>1244</v>
      </c>
    </row>
    <row r="479" spans="1:5" ht="12.75">
      <c r="A479" s="688">
        <v>7132230021</v>
      </c>
      <c r="B479" s="686" t="s">
        <v>1262</v>
      </c>
      <c r="C479" s="683" t="s">
        <v>897</v>
      </c>
      <c r="D479" s="687">
        <v>268</v>
      </c>
      <c r="E479" s="232" t="s">
        <v>1245</v>
      </c>
    </row>
    <row r="480" spans="1:5" ht="12.75">
      <c r="A480" s="688">
        <v>7132230024</v>
      </c>
      <c r="B480" s="686" t="s">
        <v>1263</v>
      </c>
      <c r="C480" s="683" t="s">
        <v>897</v>
      </c>
      <c r="D480" s="687">
        <v>268</v>
      </c>
      <c r="E480" s="232" t="s">
        <v>1246</v>
      </c>
    </row>
    <row r="481" spans="1:5" ht="12.75">
      <c r="A481" s="683">
        <v>7132230039</v>
      </c>
      <c r="B481" s="691" t="s">
        <v>1264</v>
      </c>
      <c r="C481" s="683" t="s">
        <v>1013</v>
      </c>
      <c r="D481" s="687">
        <v>460044</v>
      </c>
      <c r="E481" s="232" t="s">
        <v>1247</v>
      </c>
    </row>
    <row r="482" spans="1:5" ht="25.5">
      <c r="A482" s="683">
        <v>7132230043</v>
      </c>
      <c r="B482" s="686" t="s">
        <v>737</v>
      </c>
      <c r="C482" s="683" t="s">
        <v>897</v>
      </c>
      <c r="D482" s="700">
        <v>18227</v>
      </c>
      <c r="E482" s="232" t="s">
        <v>1248</v>
      </c>
    </row>
    <row r="483" spans="1:5" ht="12.75">
      <c r="A483" s="679">
        <v>7132230065</v>
      </c>
      <c r="B483" s="694" t="s">
        <v>1265</v>
      </c>
      <c r="C483" s="679" t="s">
        <v>1013</v>
      </c>
      <c r="D483" s="681">
        <v>290795</v>
      </c>
      <c r="E483" s="141" t="s">
        <v>1249</v>
      </c>
    </row>
    <row r="484" spans="1:5" ht="12.75">
      <c r="A484" s="679">
        <v>7132230075</v>
      </c>
      <c r="B484" s="694" t="s">
        <v>1266</v>
      </c>
      <c r="C484" s="679" t="s">
        <v>1013</v>
      </c>
      <c r="D484" s="681">
        <v>331734</v>
      </c>
      <c r="E484" s="141" t="s">
        <v>1250</v>
      </c>
    </row>
    <row r="485" spans="1:5" ht="12.75">
      <c r="A485" s="679">
        <v>7132230076</v>
      </c>
      <c r="B485" s="694" t="s">
        <v>1267</v>
      </c>
      <c r="C485" s="679" t="s">
        <v>1013</v>
      </c>
      <c r="D485" s="681">
        <v>735218</v>
      </c>
      <c r="E485" s="141" t="s">
        <v>1251</v>
      </c>
    </row>
    <row r="486" spans="1:5" ht="12.75">
      <c r="A486" s="679">
        <v>7132230077</v>
      </c>
      <c r="B486" s="694" t="s">
        <v>1268</v>
      </c>
      <c r="C486" s="679" t="s">
        <v>1013</v>
      </c>
      <c r="D486" s="681">
        <v>484141</v>
      </c>
      <c r="E486" s="141" t="s">
        <v>1252</v>
      </c>
    </row>
    <row r="487" spans="1:5" ht="12.75">
      <c r="A487" s="679">
        <v>7132230078</v>
      </c>
      <c r="B487" s="694" t="s">
        <v>1269</v>
      </c>
      <c r="C487" s="679" t="s">
        <v>1013</v>
      </c>
      <c r="D487" s="681">
        <v>448513</v>
      </c>
      <c r="E487" s="141" t="s">
        <v>1253</v>
      </c>
    </row>
    <row r="488" spans="1:5" ht="12.75">
      <c r="A488" s="690">
        <v>7132230088</v>
      </c>
      <c r="B488" s="686" t="s">
        <v>1270</v>
      </c>
      <c r="C488" s="683" t="s">
        <v>897</v>
      </c>
      <c r="D488" s="687">
        <v>30290</v>
      </c>
      <c r="E488" s="141"/>
    </row>
    <row r="489" spans="1:5" ht="12.75">
      <c r="A489" s="690">
        <v>7132230089</v>
      </c>
      <c r="B489" s="686" t="s">
        <v>1271</v>
      </c>
      <c r="C489" s="683" t="s">
        <v>897</v>
      </c>
      <c r="D489" s="687">
        <v>67155</v>
      </c>
      <c r="E489" s="141" t="s">
        <v>1254</v>
      </c>
    </row>
    <row r="490" spans="1:5" ht="15" customHeight="1">
      <c r="A490" s="688">
        <v>7132230185</v>
      </c>
      <c r="B490" s="686" t="s">
        <v>1272</v>
      </c>
      <c r="C490" s="683" t="s">
        <v>897</v>
      </c>
      <c r="D490" s="687">
        <v>8903</v>
      </c>
      <c r="E490" s="232" t="s">
        <v>1255</v>
      </c>
    </row>
    <row r="491" spans="1:5" ht="15" customHeight="1">
      <c r="A491" s="688">
        <v>7132230188</v>
      </c>
      <c r="B491" s="686" t="s">
        <v>1273</v>
      </c>
      <c r="C491" s="683" t="s">
        <v>897</v>
      </c>
      <c r="D491" s="687">
        <v>8903</v>
      </c>
      <c r="E491" s="232" t="s">
        <v>442</v>
      </c>
    </row>
    <row r="492" spans="1:5" ht="15.75" customHeight="1">
      <c r="A492" s="688">
        <v>7132230263</v>
      </c>
      <c r="B492" s="686" t="s">
        <v>738</v>
      </c>
      <c r="C492" s="683" t="s">
        <v>897</v>
      </c>
      <c r="D492" s="687">
        <v>18948</v>
      </c>
      <c r="E492" s="232" t="s">
        <v>443</v>
      </c>
    </row>
    <row r="493" spans="1:5" ht="12.75" customHeight="1">
      <c r="A493" s="688">
        <v>7132230265</v>
      </c>
      <c r="B493" s="686" t="s">
        <v>739</v>
      </c>
      <c r="C493" s="683" t="s">
        <v>897</v>
      </c>
      <c r="D493" s="687">
        <v>16868</v>
      </c>
      <c r="E493" s="232" t="s">
        <v>444</v>
      </c>
    </row>
    <row r="494" spans="1:5" ht="13.5" customHeight="1">
      <c r="A494" s="688">
        <v>7132230304</v>
      </c>
      <c r="B494" s="686" t="s">
        <v>740</v>
      </c>
      <c r="C494" s="683" t="s">
        <v>897</v>
      </c>
      <c r="D494" s="700">
        <v>16544</v>
      </c>
      <c r="E494" s="232" t="s">
        <v>693</v>
      </c>
    </row>
    <row r="495" spans="1:5" ht="12.75">
      <c r="A495" s="679">
        <v>7132230330</v>
      </c>
      <c r="B495" s="694" t="s">
        <v>1274</v>
      </c>
      <c r="C495" s="679" t="s">
        <v>1013</v>
      </c>
      <c r="D495" s="681">
        <v>328366</v>
      </c>
      <c r="E495" s="232" t="s">
        <v>224</v>
      </c>
    </row>
    <row r="496" spans="1:5" ht="12.75">
      <c r="A496" s="679">
        <v>7132230332</v>
      </c>
      <c r="B496" s="694" t="s">
        <v>1275</v>
      </c>
      <c r="C496" s="679" t="s">
        <v>1013</v>
      </c>
      <c r="D496" s="681">
        <v>304009</v>
      </c>
      <c r="E496" s="232" t="s">
        <v>225</v>
      </c>
    </row>
    <row r="497" spans="1:5" ht="12.75">
      <c r="A497" s="679">
        <v>7132230336</v>
      </c>
      <c r="B497" s="694" t="s">
        <v>1276</v>
      </c>
      <c r="C497" s="679" t="s">
        <v>1013</v>
      </c>
      <c r="D497" s="681">
        <v>266309</v>
      </c>
      <c r="E497" s="232" t="s">
        <v>226</v>
      </c>
    </row>
    <row r="498" spans="1:5" ht="12.75">
      <c r="A498" s="688">
        <v>7132230394</v>
      </c>
      <c r="B498" s="686" t="s">
        <v>1277</v>
      </c>
      <c r="C498" s="683" t="s">
        <v>897</v>
      </c>
      <c r="D498" s="687">
        <v>35395</v>
      </c>
      <c r="E498" s="232" t="s">
        <v>227</v>
      </c>
    </row>
    <row r="499" spans="1:5" ht="12.75">
      <c r="A499" s="683">
        <v>7132230395</v>
      </c>
      <c r="B499" s="686" t="s">
        <v>1278</v>
      </c>
      <c r="C499" s="683" t="s">
        <v>897</v>
      </c>
      <c r="D499" s="687">
        <v>31841</v>
      </c>
      <c r="E499" s="232" t="s">
        <v>228</v>
      </c>
    </row>
    <row r="500" spans="1:5" ht="12.75">
      <c r="A500" s="688">
        <v>7132230396</v>
      </c>
      <c r="B500" s="686" t="s">
        <v>1279</v>
      </c>
      <c r="C500" s="683" t="s">
        <v>897</v>
      </c>
      <c r="D500" s="687">
        <v>31131</v>
      </c>
      <c r="E500" s="232" t="s">
        <v>1191</v>
      </c>
    </row>
    <row r="501" spans="1:5" ht="12.75">
      <c r="A501" s="688">
        <v>7132230399</v>
      </c>
      <c r="B501" s="686" t="s">
        <v>1280</v>
      </c>
      <c r="C501" s="683" t="s">
        <v>897</v>
      </c>
      <c r="D501" s="687">
        <v>30287</v>
      </c>
      <c r="E501" s="232" t="s">
        <v>1192</v>
      </c>
    </row>
    <row r="502" spans="1:5" ht="12.75">
      <c r="A502" s="688">
        <v>7132230401</v>
      </c>
      <c r="B502" s="686" t="s">
        <v>1281</v>
      </c>
      <c r="C502" s="683" t="s">
        <v>897</v>
      </c>
      <c r="D502" s="687">
        <v>30894</v>
      </c>
      <c r="E502" s="232" t="s">
        <v>1193</v>
      </c>
    </row>
    <row r="503" spans="1:5" ht="12.75">
      <c r="A503" s="688">
        <v>7132230406</v>
      </c>
      <c r="B503" s="686" t="s">
        <v>1282</v>
      </c>
      <c r="C503" s="683" t="s">
        <v>897</v>
      </c>
      <c r="D503" s="687">
        <v>30894</v>
      </c>
      <c r="E503" s="232" t="s">
        <v>1194</v>
      </c>
    </row>
    <row r="504" spans="1:5" ht="12.75">
      <c r="A504" s="688">
        <v>7132230412</v>
      </c>
      <c r="B504" s="686" t="s">
        <v>622</v>
      </c>
      <c r="C504" s="683" t="s">
        <v>897</v>
      </c>
      <c r="D504" s="687">
        <v>29949</v>
      </c>
      <c r="E504" s="232" t="s">
        <v>1195</v>
      </c>
    </row>
    <row r="505" spans="1:5" ht="12.75">
      <c r="A505" s="688">
        <v>7132230414</v>
      </c>
      <c r="B505" s="686" t="s">
        <v>1283</v>
      </c>
      <c r="C505" s="683" t="s">
        <v>897</v>
      </c>
      <c r="D505" s="687">
        <v>30894</v>
      </c>
      <c r="E505" s="232" t="s">
        <v>1196</v>
      </c>
    </row>
    <row r="506" spans="1:5" ht="12.75">
      <c r="A506" s="688">
        <v>7132230418</v>
      </c>
      <c r="B506" s="686" t="s">
        <v>1284</v>
      </c>
      <c r="C506" s="683" t="s">
        <v>897</v>
      </c>
      <c r="D506" s="687">
        <v>64768</v>
      </c>
      <c r="E506" s="232" t="s">
        <v>1197</v>
      </c>
    </row>
    <row r="507" spans="1:5" ht="12.75">
      <c r="A507" s="688">
        <v>7132230427</v>
      </c>
      <c r="B507" s="686" t="s">
        <v>621</v>
      </c>
      <c r="C507" s="683" t="s">
        <v>897</v>
      </c>
      <c r="D507" s="687">
        <v>64587</v>
      </c>
      <c r="E507" s="232" t="s">
        <v>1198</v>
      </c>
    </row>
    <row r="508" spans="1:5" ht="12.75">
      <c r="A508" s="688">
        <v>7132230447</v>
      </c>
      <c r="B508" s="686" t="s">
        <v>1285</v>
      </c>
      <c r="C508" s="683" t="s">
        <v>897</v>
      </c>
      <c r="D508" s="687">
        <v>77029</v>
      </c>
      <c r="E508" s="232" t="s">
        <v>1199</v>
      </c>
    </row>
    <row r="509" spans="1:5" ht="12.75">
      <c r="A509" s="688">
        <v>7132230448</v>
      </c>
      <c r="B509" s="686" t="s">
        <v>1286</v>
      </c>
      <c r="C509" s="683" t="s">
        <v>897</v>
      </c>
      <c r="D509" s="687">
        <v>64768</v>
      </c>
      <c r="E509" s="232" t="s">
        <v>1200</v>
      </c>
    </row>
    <row r="510" spans="1:5" ht="12.75">
      <c r="A510" s="688">
        <v>7132230449</v>
      </c>
      <c r="B510" s="686" t="s">
        <v>1287</v>
      </c>
      <c r="C510" s="683" t="s">
        <v>897</v>
      </c>
      <c r="D510" s="687">
        <v>64768</v>
      </c>
      <c r="E510" s="232" t="s">
        <v>1201</v>
      </c>
    </row>
    <row r="511" spans="1:5" ht="12.75">
      <c r="A511" s="688">
        <v>7132230450</v>
      </c>
      <c r="B511" s="686" t="s">
        <v>1288</v>
      </c>
      <c r="C511" s="683" t="s">
        <v>897</v>
      </c>
      <c r="D511" s="687">
        <v>66527</v>
      </c>
      <c r="E511" s="232" t="s">
        <v>1202</v>
      </c>
    </row>
    <row r="512" spans="1:5" ht="12.75">
      <c r="A512" s="688">
        <v>7132230453</v>
      </c>
      <c r="B512" s="686" t="s">
        <v>1289</v>
      </c>
      <c r="C512" s="683" t="s">
        <v>897</v>
      </c>
      <c r="D512" s="687">
        <v>66527</v>
      </c>
      <c r="E512" s="232" t="s">
        <v>1203</v>
      </c>
    </row>
    <row r="513" spans="1:5" ht="14.25" customHeight="1">
      <c r="A513" s="688">
        <v>7132230455</v>
      </c>
      <c r="B513" s="691" t="s">
        <v>1290</v>
      </c>
      <c r="C513" s="683" t="s">
        <v>897</v>
      </c>
      <c r="D513" s="687">
        <v>64768</v>
      </c>
      <c r="E513" s="232" t="s">
        <v>1152</v>
      </c>
    </row>
    <row r="514" spans="1:5" ht="12.75">
      <c r="A514" s="683">
        <v>7132230457</v>
      </c>
      <c r="B514" s="686" t="s">
        <v>1291</v>
      </c>
      <c r="C514" s="683" t="s">
        <v>897</v>
      </c>
      <c r="D514" s="687">
        <v>66145</v>
      </c>
      <c r="E514" s="232" t="s">
        <v>1153</v>
      </c>
    </row>
    <row r="515" spans="1:9" ht="25.5">
      <c r="A515" s="688">
        <v>7132230056</v>
      </c>
      <c r="B515" s="686" t="s">
        <v>741</v>
      </c>
      <c r="C515" s="683" t="s">
        <v>897</v>
      </c>
      <c r="D515" s="687">
        <v>8903</v>
      </c>
      <c r="E515" s="232" t="s">
        <v>1154</v>
      </c>
      <c r="I515" s="683" t="s">
        <v>1292</v>
      </c>
    </row>
    <row r="516" spans="1:9" ht="25.5">
      <c r="A516" s="688">
        <v>7132230057</v>
      </c>
      <c r="B516" s="686" t="s">
        <v>700</v>
      </c>
      <c r="C516" s="683" t="s">
        <v>897</v>
      </c>
      <c r="D516" s="687">
        <v>16371</v>
      </c>
      <c r="E516" s="232" t="s">
        <v>1155</v>
      </c>
      <c r="I516" s="683" t="s">
        <v>1293</v>
      </c>
    </row>
    <row r="517" spans="1:5" ht="12.75">
      <c r="A517" s="679">
        <v>7132230501</v>
      </c>
      <c r="B517" s="689" t="s">
        <v>701</v>
      </c>
      <c r="C517" s="679" t="s">
        <v>1013</v>
      </c>
      <c r="D517" s="681">
        <v>227961</v>
      </c>
      <c r="E517" s="232" t="s">
        <v>1156</v>
      </c>
    </row>
    <row r="518" spans="1:5" ht="12.75">
      <c r="A518" s="679">
        <v>7132230511</v>
      </c>
      <c r="B518" s="689" t="s">
        <v>702</v>
      </c>
      <c r="C518" s="679" t="s">
        <v>1013</v>
      </c>
      <c r="D518" s="681">
        <v>540886</v>
      </c>
      <c r="E518" s="232" t="s">
        <v>1157</v>
      </c>
    </row>
    <row r="519" spans="1:5" ht="12.75">
      <c r="A519" s="692">
        <v>7132404015</v>
      </c>
      <c r="B519" s="694" t="s">
        <v>220</v>
      </c>
      <c r="C519" s="675" t="s">
        <v>695</v>
      </c>
      <c r="D519" s="695">
        <v>549</v>
      </c>
      <c r="E519" s="232" t="s">
        <v>1158</v>
      </c>
    </row>
    <row r="520" spans="1:5" ht="12.75">
      <c r="A520" s="692">
        <v>7132404016</v>
      </c>
      <c r="B520" s="694" t="s">
        <v>221</v>
      </c>
      <c r="C520" s="675" t="s">
        <v>695</v>
      </c>
      <c r="D520" s="695">
        <v>123</v>
      </c>
      <c r="E520" s="232" t="s">
        <v>1159</v>
      </c>
    </row>
    <row r="521" spans="1:5" ht="25.5">
      <c r="A521" s="685">
        <v>7132404366</v>
      </c>
      <c r="B521" s="678" t="s">
        <v>1391</v>
      </c>
      <c r="C521" s="679" t="s">
        <v>1013</v>
      </c>
      <c r="D521" s="681">
        <v>49161</v>
      </c>
      <c r="E521" s="232" t="s">
        <v>653</v>
      </c>
    </row>
    <row r="522" spans="1:5" ht="25.5">
      <c r="A522" s="692">
        <v>7132406022</v>
      </c>
      <c r="B522" s="691" t="s">
        <v>1358</v>
      </c>
      <c r="C522" s="675" t="s">
        <v>695</v>
      </c>
      <c r="D522" s="695">
        <v>131</v>
      </c>
      <c r="E522" s="232" t="s">
        <v>505</v>
      </c>
    </row>
    <row r="523" spans="1:5" ht="25.5">
      <c r="A523" s="685">
        <v>7132406420</v>
      </c>
      <c r="B523" s="686" t="s">
        <v>732</v>
      </c>
      <c r="C523" s="679" t="s">
        <v>897</v>
      </c>
      <c r="D523" s="681">
        <v>2437</v>
      </c>
      <c r="E523" s="232" t="s">
        <v>506</v>
      </c>
    </row>
    <row r="524" spans="1:5" ht="12.75">
      <c r="A524" s="685">
        <v>7132406425</v>
      </c>
      <c r="B524" s="678" t="s">
        <v>820</v>
      </c>
      <c r="C524" s="679" t="s">
        <v>897</v>
      </c>
      <c r="D524" s="681">
        <v>2528</v>
      </c>
      <c r="E524" s="232" t="s">
        <v>820</v>
      </c>
    </row>
    <row r="525" spans="1:5" ht="25.5">
      <c r="A525" s="688">
        <v>7132406721</v>
      </c>
      <c r="B525" s="686" t="s">
        <v>886</v>
      </c>
      <c r="C525" s="683" t="s">
        <v>897</v>
      </c>
      <c r="D525" s="687">
        <v>2538</v>
      </c>
      <c r="E525" s="232" t="s">
        <v>507</v>
      </c>
    </row>
    <row r="526" spans="1:5" ht="16.5" customHeight="1">
      <c r="A526" s="706">
        <v>7132411894</v>
      </c>
      <c r="B526" s="691" t="s">
        <v>710</v>
      </c>
      <c r="C526" s="675" t="s">
        <v>1009</v>
      </c>
      <c r="D526" s="695">
        <v>457</v>
      </c>
      <c r="E526" s="232" t="s">
        <v>7</v>
      </c>
    </row>
    <row r="527" spans="1:5" ht="31.5" customHeight="1">
      <c r="A527" s="706">
        <v>7132421002</v>
      </c>
      <c r="B527" s="686" t="s">
        <v>223</v>
      </c>
      <c r="C527" s="683" t="s">
        <v>26</v>
      </c>
      <c r="D527" s="687">
        <v>5166</v>
      </c>
      <c r="E527" s="232" t="s">
        <v>8</v>
      </c>
    </row>
    <row r="528" spans="1:5" ht="12.75">
      <c r="A528" s="692">
        <v>7132427634</v>
      </c>
      <c r="B528" s="694" t="s">
        <v>1431</v>
      </c>
      <c r="C528" s="675" t="s">
        <v>695</v>
      </c>
      <c r="D528" s="695">
        <v>771</v>
      </c>
      <c r="E528" s="232" t="s">
        <v>9</v>
      </c>
    </row>
    <row r="529" spans="1:5" ht="12.75">
      <c r="A529" s="692">
        <v>7132427635</v>
      </c>
      <c r="B529" s="694" t="s">
        <v>1432</v>
      </c>
      <c r="C529" s="675" t="s">
        <v>695</v>
      </c>
      <c r="D529" s="695">
        <v>519</v>
      </c>
      <c r="E529" s="232" t="s">
        <v>10</v>
      </c>
    </row>
    <row r="530" spans="1:5" ht="12.75">
      <c r="A530" s="692">
        <v>7132438002</v>
      </c>
      <c r="B530" s="691" t="s">
        <v>715</v>
      </c>
      <c r="C530" s="675" t="s">
        <v>32</v>
      </c>
      <c r="D530" s="695">
        <v>163</v>
      </c>
      <c r="E530" s="232" t="s">
        <v>11</v>
      </c>
    </row>
    <row r="531" spans="1:5" ht="12.75">
      <c r="A531" s="679">
        <v>7132444005</v>
      </c>
      <c r="B531" s="694" t="s">
        <v>1086</v>
      </c>
      <c r="C531" s="679" t="s">
        <v>897</v>
      </c>
      <c r="D531" s="681">
        <v>4</v>
      </c>
      <c r="E531" s="232" t="s">
        <v>12</v>
      </c>
    </row>
    <row r="532" spans="1:5" ht="12.75">
      <c r="A532" s="692">
        <v>7132444007</v>
      </c>
      <c r="B532" s="691" t="s">
        <v>1405</v>
      </c>
      <c r="C532" s="675" t="s">
        <v>753</v>
      </c>
      <c r="D532" s="695">
        <v>893</v>
      </c>
      <c r="E532" s="232"/>
    </row>
    <row r="533" spans="1:9" ht="25.5">
      <c r="A533" s="706">
        <v>7132448003</v>
      </c>
      <c r="B533" s="686" t="s">
        <v>229</v>
      </c>
      <c r="C533" s="683" t="s">
        <v>26</v>
      </c>
      <c r="D533" s="687">
        <v>3710</v>
      </c>
      <c r="E533" s="232" t="s">
        <v>13</v>
      </c>
      <c r="I533" s="683" t="s">
        <v>1294</v>
      </c>
    </row>
    <row r="534" spans="1:5" ht="54" customHeight="1">
      <c r="A534" s="692">
        <v>7132455002</v>
      </c>
      <c r="B534" s="691" t="s">
        <v>1373</v>
      </c>
      <c r="C534" s="675" t="s">
        <v>695</v>
      </c>
      <c r="D534" s="695">
        <v>274</v>
      </c>
      <c r="E534" s="232"/>
    </row>
    <row r="535" spans="1:5" ht="12.75">
      <c r="A535" s="688">
        <v>7132457798</v>
      </c>
      <c r="B535" s="686" t="s">
        <v>1296</v>
      </c>
      <c r="C535" s="683" t="s">
        <v>935</v>
      </c>
      <c r="D535" s="687">
        <v>77842</v>
      </c>
      <c r="E535" s="232" t="s">
        <v>14</v>
      </c>
    </row>
    <row r="536" spans="1:5" ht="12.75">
      <c r="A536" s="688">
        <v>7132457798</v>
      </c>
      <c r="B536" s="686" t="s">
        <v>1297</v>
      </c>
      <c r="C536" s="683" t="s">
        <v>935</v>
      </c>
      <c r="D536" s="687">
        <v>68897</v>
      </c>
      <c r="E536" s="232" t="s">
        <v>14</v>
      </c>
    </row>
    <row r="537" spans="1:5" ht="16.5" customHeight="1">
      <c r="A537" s="690">
        <v>7132459005</v>
      </c>
      <c r="B537" s="691" t="s">
        <v>1087</v>
      </c>
      <c r="C537" s="683" t="s">
        <v>897</v>
      </c>
      <c r="D537" s="687">
        <v>5</v>
      </c>
      <c r="E537" s="232" t="s">
        <v>15</v>
      </c>
    </row>
    <row r="538" spans="1:5" ht="12.75">
      <c r="A538" s="682">
        <v>7132461004</v>
      </c>
      <c r="B538" s="709" t="s">
        <v>179</v>
      </c>
      <c r="C538" s="710" t="s">
        <v>1014</v>
      </c>
      <c r="D538" s="681">
        <v>1020</v>
      </c>
      <c r="E538" s="232" t="s">
        <v>16</v>
      </c>
    </row>
    <row r="539" spans="1:5" ht="12.75">
      <c r="A539" s="682">
        <v>7132461005</v>
      </c>
      <c r="B539" s="709" t="s">
        <v>180</v>
      </c>
      <c r="C539" s="710" t="s">
        <v>695</v>
      </c>
      <c r="D539" s="681">
        <v>371</v>
      </c>
      <c r="E539" s="232" t="s">
        <v>17</v>
      </c>
    </row>
    <row r="540" spans="1:5" ht="12.75">
      <c r="A540" s="685">
        <v>7132468558</v>
      </c>
      <c r="B540" s="678" t="s">
        <v>1390</v>
      </c>
      <c r="C540" s="679" t="s">
        <v>897</v>
      </c>
      <c r="D540" s="681">
        <v>9316</v>
      </c>
      <c r="E540" s="232" t="s">
        <v>18</v>
      </c>
    </row>
    <row r="541" spans="1:5" ht="12.75">
      <c r="A541" s="692">
        <v>7132475019</v>
      </c>
      <c r="B541" s="694" t="s">
        <v>219</v>
      </c>
      <c r="C541" s="675" t="s">
        <v>753</v>
      </c>
      <c r="D541" s="695">
        <v>310</v>
      </c>
      <c r="E541" s="232"/>
    </row>
    <row r="542" spans="1:5" ht="25.5">
      <c r="A542" s="692">
        <v>7132475019</v>
      </c>
      <c r="B542" s="691" t="s">
        <v>797</v>
      </c>
      <c r="C542" s="675" t="s">
        <v>1360</v>
      </c>
      <c r="D542" s="695">
        <v>131</v>
      </c>
      <c r="E542" s="232"/>
    </row>
    <row r="543" spans="1:5" ht="25.5">
      <c r="A543" s="692">
        <v>7132476007</v>
      </c>
      <c r="B543" s="691" t="s">
        <v>798</v>
      </c>
      <c r="C543" s="675" t="s">
        <v>1360</v>
      </c>
      <c r="D543" s="695">
        <v>15</v>
      </c>
      <c r="E543" s="232" t="s">
        <v>19</v>
      </c>
    </row>
    <row r="544" spans="1:5" ht="25.5">
      <c r="A544" s="692">
        <v>7132476008</v>
      </c>
      <c r="B544" s="691" t="s">
        <v>800</v>
      </c>
      <c r="C544" s="675" t="s">
        <v>1360</v>
      </c>
      <c r="D544" s="695">
        <v>71</v>
      </c>
      <c r="E544" s="232"/>
    </row>
    <row r="545" spans="1:5" ht="12.75">
      <c r="A545" s="706">
        <v>7132478004</v>
      </c>
      <c r="B545" s="691" t="s">
        <v>1426</v>
      </c>
      <c r="C545" s="675" t="s">
        <v>695</v>
      </c>
      <c r="D545" s="687">
        <v>1351</v>
      </c>
      <c r="E545" s="232" t="s">
        <v>1148</v>
      </c>
    </row>
    <row r="546" spans="1:5" ht="12.75">
      <c r="A546" s="692">
        <v>7132478011</v>
      </c>
      <c r="B546" s="694" t="s">
        <v>1413</v>
      </c>
      <c r="C546" s="675" t="s">
        <v>695</v>
      </c>
      <c r="D546" s="695">
        <v>534</v>
      </c>
      <c r="E546" s="232"/>
    </row>
    <row r="547" spans="1:5" ht="12.75">
      <c r="A547" s="692">
        <v>7132478012</v>
      </c>
      <c r="B547" s="694" t="s">
        <v>1414</v>
      </c>
      <c r="C547" s="675" t="s">
        <v>695</v>
      </c>
      <c r="D547" s="695">
        <v>364</v>
      </c>
      <c r="E547" s="232" t="s">
        <v>1149</v>
      </c>
    </row>
    <row r="548" spans="1:5" ht="12.75">
      <c r="A548" s="692">
        <v>7132478012</v>
      </c>
      <c r="B548" s="691" t="s">
        <v>801</v>
      </c>
      <c r="C548" s="675" t="s">
        <v>32</v>
      </c>
      <c r="D548" s="695">
        <v>65</v>
      </c>
      <c r="E548" s="232" t="s">
        <v>1149</v>
      </c>
    </row>
    <row r="549" spans="1:5" ht="28.5" customHeight="1">
      <c r="A549" s="706">
        <v>7132490006</v>
      </c>
      <c r="B549" s="691" t="s">
        <v>222</v>
      </c>
      <c r="C549" s="683" t="s">
        <v>26</v>
      </c>
      <c r="D549" s="687">
        <v>4619</v>
      </c>
      <c r="E549" s="232" t="s">
        <v>1150</v>
      </c>
    </row>
    <row r="550" spans="1:5" ht="12.75">
      <c r="A550" s="692">
        <v>7132490052</v>
      </c>
      <c r="B550" s="691" t="s">
        <v>803</v>
      </c>
      <c r="C550" s="675" t="s">
        <v>32</v>
      </c>
      <c r="D550" s="695">
        <v>59</v>
      </c>
      <c r="E550" s="232"/>
    </row>
    <row r="551" spans="1:5" ht="12.75">
      <c r="A551" s="692">
        <v>7132490053</v>
      </c>
      <c r="B551" s="691" t="s">
        <v>804</v>
      </c>
      <c r="C551" s="675" t="s">
        <v>32</v>
      </c>
      <c r="D551" s="695">
        <v>90</v>
      </c>
      <c r="E551" s="232"/>
    </row>
    <row r="552" spans="1:5" ht="12.75">
      <c r="A552" s="692">
        <v>7132498006</v>
      </c>
      <c r="B552" s="691" t="s">
        <v>184</v>
      </c>
      <c r="C552" s="675" t="s">
        <v>28</v>
      </c>
      <c r="D552" s="695">
        <v>650</v>
      </c>
      <c r="E552" s="232" t="s">
        <v>1151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421875" style="2" bestFit="1" customWidth="1"/>
    <col min="2" max="2" width="79.140625" style="2" customWidth="1"/>
    <col min="3" max="3" width="13.57421875" style="2" customWidth="1"/>
    <col min="4" max="4" width="6.57421875" style="2" customWidth="1"/>
    <col min="5" max="5" width="9.57421875" style="2" bestFit="1" customWidth="1"/>
    <col min="6" max="6" width="5.57421875" style="2" bestFit="1" customWidth="1"/>
    <col min="7" max="7" width="11.7109375" style="2" customWidth="1"/>
    <col min="8" max="8" width="15.57421875" style="2" customWidth="1"/>
    <col min="9" max="9" width="8.57421875" style="2" customWidth="1"/>
    <col min="10" max="10" width="16.140625" style="2" customWidth="1"/>
    <col min="11" max="11" width="14.7109375" style="2" customWidth="1"/>
    <col min="12" max="12" width="15.00390625" style="2" customWidth="1"/>
    <col min="13" max="13" width="14.140625" style="2" customWidth="1"/>
    <col min="14" max="16384" width="9.140625" style="2" customWidth="1"/>
  </cols>
  <sheetData>
    <row r="1" spans="1:10" ht="18.75" customHeight="1">
      <c r="A1" s="478"/>
      <c r="B1" s="830" t="s">
        <v>1401</v>
      </c>
      <c r="C1" s="830"/>
      <c r="D1" s="830"/>
      <c r="E1" s="479"/>
      <c r="F1" s="479"/>
      <c r="G1" s="479"/>
      <c r="H1" s="479"/>
      <c r="I1" s="479"/>
      <c r="J1" s="479"/>
    </row>
    <row r="2" spans="2:10" ht="11.25" customHeight="1">
      <c r="B2" s="480"/>
      <c r="C2" s="480"/>
      <c r="D2" s="480"/>
      <c r="E2" s="480"/>
      <c r="F2" s="480"/>
      <c r="G2" s="480"/>
      <c r="H2" s="480"/>
      <c r="I2" s="480"/>
      <c r="J2" s="480"/>
    </row>
    <row r="3" spans="2:10" ht="37.5" customHeight="1">
      <c r="B3" s="838" t="s">
        <v>841</v>
      </c>
      <c r="C3" s="838"/>
      <c r="D3" s="838"/>
      <c r="E3" s="838"/>
      <c r="F3" s="481"/>
      <c r="G3" s="481"/>
      <c r="H3" s="481"/>
      <c r="I3" s="481"/>
      <c r="J3" s="481"/>
    </row>
    <row r="4" spans="1:14" ht="15.75" customHeight="1">
      <c r="A4" s="482"/>
      <c r="B4" s="483"/>
      <c r="C4" s="483"/>
      <c r="D4" s="482"/>
      <c r="E4" s="484"/>
      <c r="F4" s="833" t="s">
        <v>1003</v>
      </c>
      <c r="G4" s="833"/>
      <c r="H4" s="484"/>
      <c r="I4" s="484"/>
      <c r="J4" s="484"/>
      <c r="N4" s="480"/>
    </row>
    <row r="5" spans="1:14" ht="75.75" customHeight="1">
      <c r="A5" s="834" t="s">
        <v>649</v>
      </c>
      <c r="B5" s="834" t="s">
        <v>773</v>
      </c>
      <c r="C5" s="821" t="s">
        <v>698</v>
      </c>
      <c r="D5" s="834" t="s">
        <v>24</v>
      </c>
      <c r="E5" s="834" t="s">
        <v>842</v>
      </c>
      <c r="F5" s="782" t="s">
        <v>248</v>
      </c>
      <c r="G5" s="782"/>
      <c r="H5" s="484"/>
      <c r="I5" s="484"/>
      <c r="J5" s="484"/>
      <c r="N5" s="480"/>
    </row>
    <row r="6" spans="1:10" ht="19.5" customHeight="1">
      <c r="A6" s="834"/>
      <c r="B6" s="834"/>
      <c r="C6" s="821"/>
      <c r="D6" s="834"/>
      <c r="E6" s="834"/>
      <c r="F6" s="485" t="s">
        <v>178</v>
      </c>
      <c r="G6" s="485" t="s">
        <v>249</v>
      </c>
      <c r="H6" s="486"/>
      <c r="I6" s="486"/>
      <c r="J6" s="486"/>
    </row>
    <row r="7" spans="1:10" ht="13.5" customHeight="1">
      <c r="A7" s="487" t="s">
        <v>892</v>
      </c>
      <c r="B7" s="488" t="s">
        <v>893</v>
      </c>
      <c r="C7" s="488">
        <v>3</v>
      </c>
      <c r="D7" s="487">
        <v>4</v>
      </c>
      <c r="E7" s="489">
        <v>5</v>
      </c>
      <c r="F7" s="488">
        <v>6</v>
      </c>
      <c r="G7" s="487">
        <v>7</v>
      </c>
      <c r="H7" s="490"/>
      <c r="I7" s="490"/>
      <c r="J7" s="490"/>
    </row>
    <row r="8" spans="1:10" ht="17.25" customHeight="1">
      <c r="A8" s="487">
        <v>1</v>
      </c>
      <c r="B8" s="491" t="s">
        <v>250</v>
      </c>
      <c r="C8" s="163">
        <v>7130800012</v>
      </c>
      <c r="D8" s="487" t="s">
        <v>1013</v>
      </c>
      <c r="E8" s="492">
        <f>VLOOKUP(C8,'SOR RATE'!A:D,4,0)</f>
        <v>1654</v>
      </c>
      <c r="F8" s="493">
        <v>20</v>
      </c>
      <c r="G8" s="494">
        <f>E8*F8</f>
        <v>33080</v>
      </c>
      <c r="H8" s="66"/>
      <c r="I8" s="67"/>
      <c r="J8" s="67"/>
    </row>
    <row r="9" spans="1:10" ht="17.25" customHeight="1">
      <c r="A9" s="487">
        <v>2</v>
      </c>
      <c r="B9" s="147" t="s">
        <v>1334</v>
      </c>
      <c r="C9" s="152">
        <v>7130870013</v>
      </c>
      <c r="D9" s="495" t="s">
        <v>1013</v>
      </c>
      <c r="E9" s="492">
        <f>VLOOKUP(C9,'SOR RATE'!A:D,4,0)</f>
        <v>100</v>
      </c>
      <c r="F9" s="493">
        <v>6</v>
      </c>
      <c r="G9" s="494">
        <f aca="true" t="shared" si="0" ref="G9:G34">E9*F9</f>
        <v>600</v>
      </c>
      <c r="H9" s="67"/>
      <c r="I9" s="496"/>
      <c r="J9" s="496"/>
    </row>
    <row r="10" spans="1:13" ht="30" customHeight="1">
      <c r="A10" s="402" t="s">
        <v>312</v>
      </c>
      <c r="B10" s="729" t="s">
        <v>656</v>
      </c>
      <c r="C10" s="152">
        <v>7130390003</v>
      </c>
      <c r="D10" s="487" t="s">
        <v>1013</v>
      </c>
      <c r="E10" s="492">
        <f>VLOOKUP(C10,'SOR RATE'!A:D,4,0)</f>
        <v>80</v>
      </c>
      <c r="F10" s="497">
        <v>30</v>
      </c>
      <c r="G10" s="494">
        <f t="shared" si="0"/>
        <v>2400</v>
      </c>
      <c r="H10" s="498"/>
      <c r="I10" s="498"/>
      <c r="J10" s="814" t="s">
        <v>838</v>
      </c>
      <c r="K10" s="814"/>
      <c r="L10" s="814"/>
      <c r="M10" s="814"/>
    </row>
    <row r="11" spans="1:13" ht="30" customHeight="1">
      <c r="A11" s="402" t="s">
        <v>1005</v>
      </c>
      <c r="B11" s="729" t="s">
        <v>657</v>
      </c>
      <c r="C11" s="53">
        <v>7130390004</v>
      </c>
      <c r="D11" s="53" t="s">
        <v>26</v>
      </c>
      <c r="E11" s="492">
        <f>VLOOKUP(C11,'SOR RATE'!A:D,4,0)</f>
        <v>104</v>
      </c>
      <c r="F11" s="497">
        <v>15</v>
      </c>
      <c r="G11" s="494">
        <f t="shared" si="0"/>
        <v>1560</v>
      </c>
      <c r="H11" s="498"/>
      <c r="I11" s="498"/>
      <c r="J11" s="832" t="s">
        <v>836</v>
      </c>
      <c r="K11" s="832"/>
      <c r="L11" s="832"/>
      <c r="M11" s="832"/>
    </row>
    <row r="12" spans="1:13" ht="18.75" customHeight="1">
      <c r="A12" s="402" t="s">
        <v>1006</v>
      </c>
      <c r="B12" s="413" t="s">
        <v>658</v>
      </c>
      <c r="C12" s="53">
        <v>7130390005</v>
      </c>
      <c r="D12" s="53" t="s">
        <v>26</v>
      </c>
      <c r="E12" s="492">
        <f>VLOOKUP(C12,'SOR RATE'!A:D,4,0)</f>
        <v>145</v>
      </c>
      <c r="F12" s="497">
        <v>24</v>
      </c>
      <c r="G12" s="494">
        <f t="shared" si="0"/>
        <v>3480</v>
      </c>
      <c r="H12" s="498"/>
      <c r="I12" s="498"/>
      <c r="J12" s="832" t="s">
        <v>837</v>
      </c>
      <c r="K12" s="832"/>
      <c r="L12" s="832"/>
      <c r="M12" s="832"/>
    </row>
    <row r="13" spans="1:10" ht="18" customHeight="1">
      <c r="A13" s="487">
        <v>4</v>
      </c>
      <c r="B13" s="418" t="s">
        <v>1400</v>
      </c>
      <c r="C13" s="424">
        <v>7130310070</v>
      </c>
      <c r="D13" s="487" t="s">
        <v>307</v>
      </c>
      <c r="E13" s="492">
        <f>VLOOKUP(C13,'SOR RATE'!A:D,4,0)/1000</f>
        <v>47.069</v>
      </c>
      <c r="F13" s="493">
        <v>1100</v>
      </c>
      <c r="G13" s="494">
        <f t="shared" si="0"/>
        <v>51775.9</v>
      </c>
      <c r="H13" s="496"/>
      <c r="I13" s="496"/>
      <c r="J13" s="496"/>
    </row>
    <row r="14" spans="1:10" ht="16.5" customHeight="1">
      <c r="A14" s="487" t="s">
        <v>251</v>
      </c>
      <c r="B14" s="327" t="s">
        <v>349</v>
      </c>
      <c r="C14" s="328">
        <v>7130890007</v>
      </c>
      <c r="D14" s="328" t="s">
        <v>897</v>
      </c>
      <c r="E14" s="492">
        <f>VLOOKUP(C14,'SOR RATE'!A:D,4,0)</f>
        <v>13621</v>
      </c>
      <c r="F14" s="493">
        <v>1</v>
      </c>
      <c r="G14" s="494">
        <f t="shared" si="0"/>
        <v>13621</v>
      </c>
      <c r="H14" s="496"/>
      <c r="I14" s="496"/>
      <c r="J14" s="496"/>
    </row>
    <row r="15" spans="1:14" ht="18.75" customHeight="1">
      <c r="A15" s="487" t="s">
        <v>1005</v>
      </c>
      <c r="B15" s="327" t="s">
        <v>252</v>
      </c>
      <c r="C15" s="328">
        <v>7131950012</v>
      </c>
      <c r="D15" s="328" t="s">
        <v>897</v>
      </c>
      <c r="E15" s="492">
        <f>VLOOKUP(C15,'SOR RATE'!A:D,4,0)</f>
        <v>1355</v>
      </c>
      <c r="F15" s="493">
        <v>5</v>
      </c>
      <c r="G15" s="494">
        <f t="shared" si="0"/>
        <v>6775</v>
      </c>
      <c r="H15" s="496"/>
      <c r="I15" s="720"/>
      <c r="J15" s="720"/>
      <c r="K15" s="720"/>
      <c r="L15" s="720"/>
      <c r="M15" s="720"/>
      <c r="N15" s="720"/>
    </row>
    <row r="16" spans="1:10" ht="16.5" customHeight="1">
      <c r="A16" s="835">
        <v>6</v>
      </c>
      <c r="B16" s="327" t="s">
        <v>318</v>
      </c>
      <c r="C16" s="433">
        <v>7130860032</v>
      </c>
      <c r="D16" s="53" t="s">
        <v>26</v>
      </c>
      <c r="E16" s="492">
        <f>VLOOKUP(C16,'SOR RATE'!A:D,4,0)</f>
        <v>387</v>
      </c>
      <c r="F16" s="499">
        <v>12</v>
      </c>
      <c r="G16" s="494">
        <f t="shared" si="0"/>
        <v>4644</v>
      </c>
      <c r="H16" s="500"/>
      <c r="I16" s="500"/>
      <c r="J16" s="500"/>
    </row>
    <row r="17" spans="1:10" ht="17.25" customHeight="1">
      <c r="A17" s="836"/>
      <c r="B17" s="327" t="s">
        <v>319</v>
      </c>
      <c r="C17" s="433">
        <v>7130860077</v>
      </c>
      <c r="D17" s="53" t="s">
        <v>32</v>
      </c>
      <c r="E17" s="492">
        <f>VLOOKUP(C17,'SOR RATE'!A:D,4,0)/1000</f>
        <v>61.6</v>
      </c>
      <c r="F17" s="499">
        <v>72</v>
      </c>
      <c r="G17" s="494">
        <f t="shared" si="0"/>
        <v>4435.2</v>
      </c>
      <c r="H17" s="500"/>
      <c r="I17" s="500"/>
      <c r="J17" s="500"/>
    </row>
    <row r="18" spans="1:10" ht="17.25" customHeight="1">
      <c r="A18" s="837"/>
      <c r="B18" s="327" t="s">
        <v>782</v>
      </c>
      <c r="C18" s="290">
        <v>7130810026</v>
      </c>
      <c r="D18" s="53" t="s">
        <v>26</v>
      </c>
      <c r="E18" s="492">
        <f>VLOOKUP(C18,'SOR RATE'!A:D,4,0)</f>
        <v>142</v>
      </c>
      <c r="F18" s="499">
        <v>12</v>
      </c>
      <c r="G18" s="494">
        <f t="shared" si="0"/>
        <v>1704</v>
      </c>
      <c r="H18" s="500"/>
      <c r="I18" s="500"/>
      <c r="J18" s="500"/>
    </row>
    <row r="19" spans="1:10" ht="31.5" customHeight="1">
      <c r="A19" s="835">
        <v>7</v>
      </c>
      <c r="B19" s="432" t="s">
        <v>253</v>
      </c>
      <c r="C19" s="333"/>
      <c r="D19" s="501" t="s">
        <v>1331</v>
      </c>
      <c r="E19" s="502"/>
      <c r="F19" s="503"/>
      <c r="G19" s="494"/>
      <c r="H19" s="67"/>
      <c r="I19" s="67"/>
      <c r="J19" s="67"/>
    </row>
    <row r="20" spans="1:10" ht="18" customHeight="1">
      <c r="A20" s="837"/>
      <c r="B20" s="243" t="s">
        <v>777</v>
      </c>
      <c r="C20" s="152">
        <v>7130200401</v>
      </c>
      <c r="D20" s="87" t="s">
        <v>32</v>
      </c>
      <c r="E20" s="492">
        <f>VLOOKUP(C20,'SOR RATE'!A:D,4,0)/50</f>
        <v>5.36</v>
      </c>
      <c r="F20" s="493">
        <f>3.9*208</f>
        <v>811.1999999999999</v>
      </c>
      <c r="G20" s="494">
        <f t="shared" si="0"/>
        <v>4348.032</v>
      </c>
      <c r="H20" s="496"/>
      <c r="I20" s="496"/>
      <c r="J20" s="496"/>
    </row>
    <row r="21" spans="1:10" ht="16.5" customHeight="1">
      <c r="A21" s="835">
        <v>8</v>
      </c>
      <c r="B21" s="423" t="s">
        <v>33</v>
      </c>
      <c r="C21" s="504"/>
      <c r="D21" s="505"/>
      <c r="E21" s="469"/>
      <c r="F21" s="469"/>
      <c r="G21" s="506"/>
      <c r="H21" s="67"/>
      <c r="I21" s="507"/>
      <c r="J21" s="507"/>
    </row>
    <row r="22" spans="1:10" ht="16.5" customHeight="1">
      <c r="A22" s="836"/>
      <c r="B22" s="431" t="s">
        <v>1333</v>
      </c>
      <c r="C22" s="433">
        <v>7130620573</v>
      </c>
      <c r="D22" s="53" t="s">
        <v>32</v>
      </c>
      <c r="E22" s="492">
        <f>VLOOKUP(C22,'SOR RATE'!A:D,4,0)</f>
        <v>64</v>
      </c>
      <c r="F22" s="429">
        <v>2</v>
      </c>
      <c r="G22" s="494">
        <f t="shared" si="0"/>
        <v>128</v>
      </c>
      <c r="H22" s="67"/>
      <c r="I22" s="507"/>
      <c r="J22" s="507"/>
    </row>
    <row r="23" spans="1:10" ht="16.5" customHeight="1">
      <c r="A23" s="836"/>
      <c r="B23" s="431" t="s">
        <v>1017</v>
      </c>
      <c r="C23" s="91">
        <v>7130620609</v>
      </c>
      <c r="D23" s="53" t="s">
        <v>32</v>
      </c>
      <c r="E23" s="492">
        <f>VLOOKUP(C23,'SOR RATE'!A:D,4,0)</f>
        <v>64</v>
      </c>
      <c r="F23" s="429">
        <v>14</v>
      </c>
      <c r="G23" s="494">
        <f t="shared" si="0"/>
        <v>896</v>
      </c>
      <c r="H23" s="67"/>
      <c r="I23" s="507"/>
      <c r="J23" s="507"/>
    </row>
    <row r="24" spans="1:10" ht="15" customHeight="1">
      <c r="A24" s="837"/>
      <c r="B24" s="431" t="s">
        <v>192</v>
      </c>
      <c r="C24" s="91">
        <v>7130620614</v>
      </c>
      <c r="D24" s="53" t="s">
        <v>32</v>
      </c>
      <c r="E24" s="492">
        <f>VLOOKUP(C24,'SOR RATE'!A:D,4,0)</f>
        <v>63</v>
      </c>
      <c r="F24" s="429">
        <v>14</v>
      </c>
      <c r="G24" s="494">
        <f t="shared" si="0"/>
        <v>882</v>
      </c>
      <c r="H24" s="67"/>
      <c r="I24" s="507"/>
      <c r="J24" s="507"/>
    </row>
    <row r="25" spans="1:10" ht="16.5" customHeight="1">
      <c r="A25" s="487">
        <v>9</v>
      </c>
      <c r="B25" s="413" t="s">
        <v>313</v>
      </c>
      <c r="C25" s="86">
        <v>7130390006</v>
      </c>
      <c r="D25" s="53" t="s">
        <v>897</v>
      </c>
      <c r="E25" s="492">
        <f>VLOOKUP(C25,'SOR RATE'!A:D,4,0)</f>
        <v>149</v>
      </c>
      <c r="F25" s="429">
        <v>41</v>
      </c>
      <c r="G25" s="494">
        <f t="shared" si="0"/>
        <v>6109</v>
      </c>
      <c r="H25" s="507"/>
      <c r="I25" s="507"/>
      <c r="J25" s="507"/>
    </row>
    <row r="26" spans="1:12" ht="30.75" customHeight="1">
      <c r="A26" s="487">
        <v>10</v>
      </c>
      <c r="B26" s="413" t="s">
        <v>1215</v>
      </c>
      <c r="C26" s="91">
        <v>7130797533</v>
      </c>
      <c r="D26" s="53" t="s">
        <v>26</v>
      </c>
      <c r="E26" s="492">
        <f>VLOOKUP(C26,'SOR RATE'!A:D,4,0)</f>
        <v>435</v>
      </c>
      <c r="F26" s="429">
        <v>22</v>
      </c>
      <c r="G26" s="494">
        <f t="shared" si="0"/>
        <v>9570</v>
      </c>
      <c r="H26" s="67"/>
      <c r="I26" s="815" t="s">
        <v>1160</v>
      </c>
      <c r="J26" s="815"/>
      <c r="K26" s="815"/>
      <c r="L26" s="815"/>
    </row>
    <row r="27" spans="1:10" ht="31.5" customHeight="1">
      <c r="A27" s="487">
        <v>11</v>
      </c>
      <c r="B27" s="413" t="s">
        <v>1443</v>
      </c>
      <c r="C27" s="86">
        <v>7130797532</v>
      </c>
      <c r="D27" s="53" t="s">
        <v>26</v>
      </c>
      <c r="E27" s="492">
        <f>VLOOKUP(C27,'SOR RATE'!A:D,4,0)</f>
        <v>599</v>
      </c>
      <c r="F27" s="429">
        <v>22</v>
      </c>
      <c r="G27" s="494">
        <f t="shared" si="0"/>
        <v>13178</v>
      </c>
      <c r="H27" s="67"/>
      <c r="I27" s="34" t="s">
        <v>652</v>
      </c>
      <c r="J27" s="507"/>
    </row>
    <row r="28" spans="1:10" ht="14.25">
      <c r="A28" s="487">
        <v>12</v>
      </c>
      <c r="B28" s="327" t="s">
        <v>29</v>
      </c>
      <c r="C28" s="91">
        <v>7130211158</v>
      </c>
      <c r="D28" s="53" t="s">
        <v>30</v>
      </c>
      <c r="E28" s="492">
        <f>VLOOKUP(C28,'SOR RATE'!A:D,4,0)</f>
        <v>130</v>
      </c>
      <c r="F28" s="429">
        <v>1</v>
      </c>
      <c r="G28" s="494">
        <f t="shared" si="0"/>
        <v>130</v>
      </c>
      <c r="H28" s="507"/>
      <c r="I28" s="507"/>
      <c r="J28" s="507"/>
    </row>
    <row r="29" spans="1:10" ht="16.5" customHeight="1">
      <c r="A29" s="487">
        <v>13</v>
      </c>
      <c r="B29" s="327" t="s">
        <v>31</v>
      </c>
      <c r="C29" s="91">
        <v>7130210809</v>
      </c>
      <c r="D29" s="53" t="s">
        <v>30</v>
      </c>
      <c r="E29" s="492">
        <f>VLOOKUP(C29,'SOR RATE'!A:D,4,0)</f>
        <v>290</v>
      </c>
      <c r="F29" s="429">
        <v>1</v>
      </c>
      <c r="G29" s="494">
        <f t="shared" si="0"/>
        <v>290</v>
      </c>
      <c r="H29" s="67"/>
      <c r="I29" s="507"/>
      <c r="J29" s="507"/>
    </row>
    <row r="30" spans="1:10" ht="16.5" customHeight="1">
      <c r="A30" s="487">
        <v>14</v>
      </c>
      <c r="B30" s="327" t="s">
        <v>796</v>
      </c>
      <c r="C30" s="91">
        <v>7130810077</v>
      </c>
      <c r="D30" s="53" t="s">
        <v>26</v>
      </c>
      <c r="E30" s="492">
        <f>VLOOKUP(C30,'SOR RATE'!A:D,4,0)</f>
        <v>394</v>
      </c>
      <c r="F30" s="429">
        <v>44</v>
      </c>
      <c r="G30" s="494">
        <f t="shared" si="0"/>
        <v>17336</v>
      </c>
      <c r="H30" s="67"/>
      <c r="I30" s="507"/>
      <c r="J30" s="507"/>
    </row>
    <row r="31" spans="1:10" ht="16.5" customHeight="1">
      <c r="A31" s="487">
        <v>15</v>
      </c>
      <c r="B31" s="327" t="s">
        <v>794</v>
      </c>
      <c r="C31" s="91">
        <v>7130893004</v>
      </c>
      <c r="D31" s="53" t="s">
        <v>26</v>
      </c>
      <c r="E31" s="492">
        <f>VLOOKUP(C31,'SOR RATE'!A:D,4,0)</f>
        <v>161</v>
      </c>
      <c r="F31" s="429">
        <v>44</v>
      </c>
      <c r="G31" s="494">
        <f t="shared" si="0"/>
        <v>7084</v>
      </c>
      <c r="H31" s="67"/>
      <c r="I31" s="507"/>
      <c r="J31" s="507"/>
    </row>
    <row r="32" spans="1:10" ht="16.5" customHeight="1">
      <c r="A32" s="487">
        <v>16</v>
      </c>
      <c r="B32" s="327" t="s">
        <v>1020</v>
      </c>
      <c r="C32" s="91">
        <v>7130810102</v>
      </c>
      <c r="D32" s="53" t="s">
        <v>26</v>
      </c>
      <c r="E32" s="492">
        <f>VLOOKUP(C32,'SOR RATE'!A:D,4,0)</f>
        <v>349</v>
      </c>
      <c r="F32" s="429">
        <v>30</v>
      </c>
      <c r="G32" s="494">
        <f t="shared" si="0"/>
        <v>10470</v>
      </c>
      <c r="H32" s="507"/>
      <c r="I32" s="507"/>
      <c r="J32" s="507"/>
    </row>
    <row r="33" spans="1:10" ht="16.5" customHeight="1">
      <c r="A33" s="487">
        <v>17</v>
      </c>
      <c r="B33" s="327" t="s">
        <v>1022</v>
      </c>
      <c r="C33" s="328">
        <v>7130390007</v>
      </c>
      <c r="D33" s="53" t="s">
        <v>26</v>
      </c>
      <c r="E33" s="492">
        <f>VLOOKUP(C33,'SOR RATE'!A:D,4,0)</f>
        <v>172</v>
      </c>
      <c r="F33" s="429">
        <v>6</v>
      </c>
      <c r="G33" s="494">
        <f>E33*F33</f>
        <v>1032</v>
      </c>
      <c r="H33" s="507"/>
      <c r="I33" s="507"/>
      <c r="J33" s="507"/>
    </row>
    <row r="34" spans="1:10" ht="16.5" customHeight="1">
      <c r="A34" s="487">
        <v>18</v>
      </c>
      <c r="B34" s="327" t="s">
        <v>1023</v>
      </c>
      <c r="C34" s="328">
        <v>7130390019</v>
      </c>
      <c r="D34" s="53" t="s">
        <v>26</v>
      </c>
      <c r="E34" s="492">
        <f>VLOOKUP(C34,'SOR RATE'!A:D,4,0)</f>
        <v>28</v>
      </c>
      <c r="F34" s="429">
        <v>20</v>
      </c>
      <c r="G34" s="494">
        <f t="shared" si="0"/>
        <v>560</v>
      </c>
      <c r="H34" s="507"/>
      <c r="I34" s="507"/>
      <c r="J34" s="507"/>
    </row>
    <row r="35" spans="1:10" ht="18.75" customHeight="1">
      <c r="A35" s="487">
        <v>19</v>
      </c>
      <c r="B35" s="327" t="s">
        <v>126</v>
      </c>
      <c r="C35" s="328">
        <v>7130320053</v>
      </c>
      <c r="D35" s="53" t="s">
        <v>26</v>
      </c>
      <c r="E35" s="492">
        <f>VLOOKUP(C35,'SOR RATE'!A:D,4,0)</f>
        <v>5</v>
      </c>
      <c r="F35" s="429">
        <v>530</v>
      </c>
      <c r="G35" s="494">
        <f>E35*F35</f>
        <v>2650</v>
      </c>
      <c r="H35" s="67"/>
      <c r="I35" s="507"/>
      <c r="J35" s="507"/>
    </row>
    <row r="36" spans="1:10" ht="16.5" customHeight="1">
      <c r="A36" s="508">
        <v>20</v>
      </c>
      <c r="B36" s="439" t="s">
        <v>937</v>
      </c>
      <c r="C36" s="509"/>
      <c r="D36" s="487"/>
      <c r="E36" s="510"/>
      <c r="F36" s="511"/>
      <c r="G36" s="742">
        <f>G8+G9+G10+G11+G12+G13+G14+G15+G16+G17+G18+G20+G22+G23+G24+G25+G26+G27+G28+G29+G30+G31+G32+G33+G34+G35</f>
        <v>198738.13199999998</v>
      </c>
      <c r="H36" s="63"/>
      <c r="I36" s="59"/>
      <c r="J36" s="496"/>
    </row>
    <row r="37" spans="1:10" ht="16.5" customHeight="1">
      <c r="A37" s="53">
        <v>21</v>
      </c>
      <c r="B37" s="443" t="s">
        <v>936</v>
      </c>
      <c r="C37" s="445"/>
      <c r="D37" s="469"/>
      <c r="E37" s="328">
        <v>0.09</v>
      </c>
      <c r="F37" s="328"/>
      <c r="G37" s="417">
        <f>G36*E37</f>
        <v>17886.431879999996</v>
      </c>
      <c r="H37" s="63"/>
      <c r="I37" s="60"/>
      <c r="J37" s="512"/>
    </row>
    <row r="38" spans="1:10" ht="18.75" customHeight="1">
      <c r="A38" s="513">
        <v>22</v>
      </c>
      <c r="B38" s="327" t="s">
        <v>824</v>
      </c>
      <c r="C38" s="514"/>
      <c r="D38" s="515" t="s">
        <v>1013</v>
      </c>
      <c r="E38" s="516">
        <f>145.2*1.086275*1.1112*1.0685</f>
        <v>187.27213435563596</v>
      </c>
      <c r="F38" s="517">
        <v>20</v>
      </c>
      <c r="G38" s="743">
        <f>E38*F38</f>
        <v>3745.442687112719</v>
      </c>
      <c r="H38" s="518"/>
      <c r="I38" s="518"/>
      <c r="J38" s="518"/>
    </row>
    <row r="39" spans="1:10" ht="17.25" customHeight="1">
      <c r="A39" s="513">
        <v>23</v>
      </c>
      <c r="B39" s="443" t="s">
        <v>310</v>
      </c>
      <c r="C39" s="427"/>
      <c r="D39" s="450" t="s">
        <v>28</v>
      </c>
      <c r="E39" s="414">
        <f>1664*1.27*1.0891*1.086275*1.1112*1.0685</f>
        <v>2968.460981603261</v>
      </c>
      <c r="F39" s="519">
        <v>3.9</v>
      </c>
      <c r="G39" s="743">
        <f>E39*F39</f>
        <v>11576.997828252719</v>
      </c>
      <c r="H39" s="507"/>
      <c r="I39" s="507"/>
      <c r="J39" s="507"/>
    </row>
    <row r="40" spans="1:10" ht="17.25" customHeight="1">
      <c r="A40" s="513">
        <v>24</v>
      </c>
      <c r="B40" s="327" t="s">
        <v>254</v>
      </c>
      <c r="C40" s="514"/>
      <c r="D40" s="513"/>
      <c r="E40" s="520"/>
      <c r="F40" s="513"/>
      <c r="G40" s="494">
        <v>40978.93</v>
      </c>
      <c r="H40" s="521"/>
      <c r="I40" s="490"/>
      <c r="J40" s="490"/>
    </row>
    <row r="41" spans="1:10" ht="17.25" customHeight="1">
      <c r="A41" s="513">
        <v>25</v>
      </c>
      <c r="B41" s="327" t="s">
        <v>949</v>
      </c>
      <c r="C41" s="514"/>
      <c r="D41" s="513"/>
      <c r="E41" s="520"/>
      <c r="F41" s="513"/>
      <c r="G41" s="417">
        <f>8760.17*1.1797*1.1402*0.9368</f>
        <v>11038.55008049043</v>
      </c>
      <c r="H41" s="490"/>
      <c r="I41" s="490"/>
      <c r="J41" s="490"/>
    </row>
    <row r="42" spans="1:10" ht="17.25" customHeight="1">
      <c r="A42" s="508">
        <v>26</v>
      </c>
      <c r="B42" s="439" t="s">
        <v>938</v>
      </c>
      <c r="C42" s="491"/>
      <c r="D42" s="487"/>
      <c r="E42" s="489"/>
      <c r="F42" s="487"/>
      <c r="G42" s="441">
        <f>G36+G37+G38+G39+G40+G41</f>
        <v>283964.48447585583</v>
      </c>
      <c r="H42" s="65"/>
      <c r="I42" s="490"/>
      <c r="J42" s="490"/>
    </row>
    <row r="43" spans="1:10" ht="18.75" customHeight="1">
      <c r="A43" s="513">
        <v>27</v>
      </c>
      <c r="B43" s="443" t="s">
        <v>939</v>
      </c>
      <c r="C43" s="514"/>
      <c r="D43" s="513"/>
      <c r="E43" s="520">
        <v>0.11</v>
      </c>
      <c r="F43" s="513"/>
      <c r="G43" s="417">
        <f>G36*E43</f>
        <v>21861.194519999997</v>
      </c>
      <c r="H43" s="65"/>
      <c r="I43" s="490"/>
      <c r="J43" s="490"/>
    </row>
    <row r="44" spans="1:10" ht="16.5" customHeight="1">
      <c r="A44" s="513">
        <v>28</v>
      </c>
      <c r="B44" s="327" t="s">
        <v>1338</v>
      </c>
      <c r="C44" s="514"/>
      <c r="D44" s="513"/>
      <c r="E44" s="520"/>
      <c r="F44" s="513"/>
      <c r="G44" s="494">
        <f>G42+G43</f>
        <v>305825.67899585585</v>
      </c>
      <c r="H44" s="490"/>
      <c r="I44" s="490"/>
      <c r="J44" s="490"/>
    </row>
    <row r="45" spans="1:10" ht="19.5" customHeight="1">
      <c r="A45" s="508">
        <v>29</v>
      </c>
      <c r="B45" s="457" t="s">
        <v>1339</v>
      </c>
      <c r="C45" s="509"/>
      <c r="D45" s="522"/>
      <c r="E45" s="523"/>
      <c r="F45" s="522"/>
      <c r="G45" s="744">
        <f>ROUND(G44,0)</f>
        <v>305826</v>
      </c>
      <c r="H45" s="524"/>
      <c r="I45" s="524"/>
      <c r="J45" s="524"/>
    </row>
    <row r="46" spans="1:10" ht="14.25">
      <c r="A46" s="525"/>
      <c r="B46" s="526"/>
      <c r="C46" s="526"/>
      <c r="D46" s="525"/>
      <c r="E46" s="525"/>
      <c r="F46" s="525"/>
      <c r="G46" s="525"/>
      <c r="H46" s="525"/>
      <c r="I46" s="525"/>
      <c r="J46" s="525"/>
    </row>
  </sheetData>
  <sheetProtection/>
  <mergeCells count="16">
    <mergeCell ref="A19:A20"/>
    <mergeCell ref="A21:A24"/>
    <mergeCell ref="B1:D1"/>
    <mergeCell ref="B3:E3"/>
    <mergeCell ref="D5:D6"/>
    <mergeCell ref="E5:E6"/>
    <mergeCell ref="J10:M10"/>
    <mergeCell ref="J11:M11"/>
    <mergeCell ref="J12:M12"/>
    <mergeCell ref="I26:L26"/>
    <mergeCell ref="F4:G4"/>
    <mergeCell ref="A5:A6"/>
    <mergeCell ref="B5:B6"/>
    <mergeCell ref="C5:C6"/>
    <mergeCell ref="F5:G5"/>
    <mergeCell ref="A16:A18"/>
  </mergeCells>
  <conditionalFormatting sqref="B36:B37">
    <cfRule type="cellIs" priority="1" dxfId="0" operator="equal" stopIfTrue="1">
      <formula>"?"</formula>
    </cfRule>
  </conditionalFormatting>
  <printOptions/>
  <pageMargins left="0.92" right="0.16" top="0.69" bottom="0.25" header="0.61" footer="0.16"/>
  <pageSetup horizontalDpi="600" verticalDpi="600" orientation="landscape" paperSize="9" scale="10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N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140625" style="2" customWidth="1"/>
    <col min="2" max="2" width="68.57421875" style="2" customWidth="1"/>
    <col min="3" max="3" width="13.8515625" style="2" customWidth="1"/>
    <col min="4" max="4" width="6.57421875" style="2" customWidth="1"/>
    <col min="5" max="5" width="8.57421875" style="2" customWidth="1"/>
    <col min="6" max="6" width="7.421875" style="2" customWidth="1"/>
    <col min="7" max="7" width="18.140625" style="2" customWidth="1"/>
    <col min="8" max="8" width="11.28125" style="2" customWidth="1"/>
    <col min="9" max="9" width="30.00390625" style="2" customWidth="1"/>
    <col min="10" max="10" width="11.00390625" style="2" customWidth="1"/>
    <col min="11" max="16384" width="9.140625" style="2" customWidth="1"/>
  </cols>
  <sheetData>
    <row r="1" spans="1:7" ht="20.25" customHeight="1">
      <c r="A1" s="527"/>
      <c r="B1" s="842" t="s">
        <v>1402</v>
      </c>
      <c r="C1" s="842"/>
      <c r="D1" s="842"/>
      <c r="E1" s="842"/>
      <c r="F1" s="732"/>
      <c r="G1" s="732"/>
    </row>
    <row r="2" spans="1:5" ht="9.75" customHeight="1">
      <c r="A2" s="527"/>
      <c r="B2" s="528"/>
      <c r="C2" s="528"/>
      <c r="D2" s="529"/>
      <c r="E2" s="529"/>
    </row>
    <row r="3" spans="2:7" ht="35.25" customHeight="1">
      <c r="B3" s="839" t="s">
        <v>255</v>
      </c>
      <c r="C3" s="839"/>
      <c r="D3" s="839"/>
      <c r="E3" s="839"/>
      <c r="F3" s="839"/>
      <c r="G3" s="839"/>
    </row>
    <row r="4" spans="2:7" ht="16.5" customHeight="1">
      <c r="B4" s="840" t="s">
        <v>256</v>
      </c>
      <c r="C4" s="840"/>
      <c r="D4" s="840"/>
      <c r="E4" s="840"/>
      <c r="F4" s="38"/>
      <c r="G4" s="530"/>
    </row>
    <row r="5" spans="2:7" ht="14.25" customHeight="1">
      <c r="B5" s="531"/>
      <c r="C5" s="531"/>
      <c r="D5" s="532"/>
      <c r="E5" s="532"/>
      <c r="F5" s="841" t="s">
        <v>1003</v>
      </c>
      <c r="G5" s="841"/>
    </row>
    <row r="6" spans="1:13" ht="63.75" customHeight="1">
      <c r="A6" s="843" t="s">
        <v>191</v>
      </c>
      <c r="B6" s="843" t="s">
        <v>23</v>
      </c>
      <c r="C6" s="843" t="s">
        <v>698</v>
      </c>
      <c r="D6" s="843" t="s">
        <v>24</v>
      </c>
      <c r="E6" s="843" t="s">
        <v>1010</v>
      </c>
      <c r="F6" s="845" t="s">
        <v>257</v>
      </c>
      <c r="G6" s="845"/>
      <c r="K6" s="38"/>
      <c r="L6" s="533"/>
      <c r="M6" s="533"/>
    </row>
    <row r="7" spans="1:7" ht="15" customHeight="1">
      <c r="A7" s="844"/>
      <c r="B7" s="844"/>
      <c r="C7" s="844"/>
      <c r="D7" s="844"/>
      <c r="E7" s="844"/>
      <c r="F7" s="535" t="s">
        <v>178</v>
      </c>
      <c r="G7" s="535" t="s">
        <v>1047</v>
      </c>
    </row>
    <row r="8" spans="1:9" ht="15.75" customHeight="1">
      <c r="A8" s="536">
        <v>1</v>
      </c>
      <c r="B8" s="536">
        <v>2</v>
      </c>
      <c r="C8" s="537">
        <v>3</v>
      </c>
      <c r="D8" s="536">
        <v>4</v>
      </c>
      <c r="E8" s="536">
        <v>5</v>
      </c>
      <c r="F8" s="538">
        <v>6</v>
      </c>
      <c r="G8" s="538">
        <v>7</v>
      </c>
      <c r="H8" s="66"/>
      <c r="I8" s="67"/>
    </row>
    <row r="9" spans="1:9" ht="31.5" customHeight="1">
      <c r="A9" s="536" t="s">
        <v>258</v>
      </c>
      <c r="B9" s="413" t="s">
        <v>1215</v>
      </c>
      <c r="C9" s="91">
        <v>7130797533</v>
      </c>
      <c r="D9" s="536" t="s">
        <v>1013</v>
      </c>
      <c r="E9" s="539">
        <f>VLOOKUP(C9,'SOR RATE'!A:D,4,0)</f>
        <v>435</v>
      </c>
      <c r="F9" s="540">
        <v>20</v>
      </c>
      <c r="G9" s="539">
        <f>F9*E9</f>
        <v>8700</v>
      </c>
      <c r="H9" s="753"/>
      <c r="I9" s="728" t="s">
        <v>1161</v>
      </c>
    </row>
    <row r="10" spans="1:12" ht="29.25" customHeight="1">
      <c r="A10" s="538" t="s">
        <v>1005</v>
      </c>
      <c r="B10" s="729" t="s">
        <v>656</v>
      </c>
      <c r="C10" s="541">
        <v>7130390003</v>
      </c>
      <c r="D10" s="536" t="s">
        <v>1013</v>
      </c>
      <c r="E10" s="539">
        <f>VLOOKUP(C10,'SOR RATE'!A:D,4,0)</f>
        <v>80</v>
      </c>
      <c r="F10" s="540">
        <v>100</v>
      </c>
      <c r="G10" s="539">
        <f>F10*E10</f>
        <v>8000</v>
      </c>
      <c r="H10" s="753"/>
      <c r="I10" s="832" t="s">
        <v>839</v>
      </c>
      <c r="J10" s="832"/>
      <c r="K10" s="832"/>
      <c r="L10" s="832"/>
    </row>
    <row r="11" spans="1:7" ht="15.75" customHeight="1">
      <c r="A11" s="538" t="s">
        <v>1006</v>
      </c>
      <c r="B11" s="413" t="s">
        <v>313</v>
      </c>
      <c r="C11" s="86">
        <v>7130390006</v>
      </c>
      <c r="D11" s="536" t="s">
        <v>1013</v>
      </c>
      <c r="E11" s="539">
        <f>VLOOKUP(C11,'SOR RATE'!A:D,4,0)</f>
        <v>149</v>
      </c>
      <c r="F11" s="540">
        <v>20</v>
      </c>
      <c r="G11" s="539">
        <f>F11*E11</f>
        <v>2980</v>
      </c>
    </row>
    <row r="12" spans="1:9" ht="31.5" customHeight="1">
      <c r="A12" s="53" t="s">
        <v>1007</v>
      </c>
      <c r="B12" s="413" t="s">
        <v>1443</v>
      </c>
      <c r="C12" s="86">
        <v>7130797532</v>
      </c>
      <c r="D12" s="536" t="s">
        <v>1013</v>
      </c>
      <c r="E12" s="539">
        <f>VLOOKUP(C12,'SOR RATE'!A:D,4,0)</f>
        <v>599</v>
      </c>
      <c r="F12" s="540">
        <v>10</v>
      </c>
      <c r="G12" s="539">
        <f>F12*E12</f>
        <v>5990</v>
      </c>
      <c r="H12" s="753"/>
      <c r="I12" s="2" t="s">
        <v>652</v>
      </c>
    </row>
    <row r="13" spans="1:8" ht="15.75" customHeight="1">
      <c r="A13" s="536">
        <v>2</v>
      </c>
      <c r="B13" s="542" t="s">
        <v>259</v>
      </c>
      <c r="C13" s="424">
        <v>7130310066</v>
      </c>
      <c r="D13" s="536" t="s">
        <v>307</v>
      </c>
      <c r="E13" s="539">
        <f>VLOOKUP(C13,'SOR RATE'!A:D,4,0)/1000</f>
        <v>129.093</v>
      </c>
      <c r="F13" s="540">
        <v>1060</v>
      </c>
      <c r="G13" s="539">
        <f>F13*E13</f>
        <v>136838.58</v>
      </c>
      <c r="H13" s="753"/>
    </row>
    <row r="14" spans="1:7" ht="15">
      <c r="A14" s="846">
        <v>3</v>
      </c>
      <c r="B14" s="543" t="s">
        <v>896</v>
      </c>
      <c r="C14" s="544"/>
      <c r="D14" s="536" t="s">
        <v>32</v>
      </c>
      <c r="E14" s="539"/>
      <c r="F14" s="545">
        <v>30</v>
      </c>
      <c r="G14" s="539"/>
    </row>
    <row r="15" spans="1:7" ht="14.25">
      <c r="A15" s="847"/>
      <c r="B15" s="546" t="s">
        <v>1333</v>
      </c>
      <c r="C15" s="544">
        <v>7130620573</v>
      </c>
      <c r="D15" s="536" t="s">
        <v>32</v>
      </c>
      <c r="E15" s="539">
        <f>VLOOKUP(C15,'SOR RATE'!A:D,4,0)</f>
        <v>64</v>
      </c>
      <c r="F15" s="540">
        <v>2</v>
      </c>
      <c r="G15" s="539">
        <f>F15*E15</f>
        <v>128</v>
      </c>
    </row>
    <row r="16" spans="1:7" ht="14.25">
      <c r="A16" s="847"/>
      <c r="B16" s="546" t="s">
        <v>1017</v>
      </c>
      <c r="C16" s="544">
        <v>7130620609</v>
      </c>
      <c r="D16" s="536" t="s">
        <v>32</v>
      </c>
      <c r="E16" s="539">
        <f>VLOOKUP(C16,'SOR RATE'!A:D,4,0)</f>
        <v>64</v>
      </c>
      <c r="F16" s="540">
        <v>14</v>
      </c>
      <c r="G16" s="539">
        <f>F16*E16</f>
        <v>896</v>
      </c>
    </row>
    <row r="17" spans="1:7" ht="14.25">
      <c r="A17" s="848"/>
      <c r="B17" s="546" t="s">
        <v>192</v>
      </c>
      <c r="C17" s="544">
        <v>7130620614</v>
      </c>
      <c r="D17" s="536" t="s">
        <v>32</v>
      </c>
      <c r="E17" s="539">
        <f>VLOOKUP(C17,'SOR RATE'!A:D,4,0)</f>
        <v>63</v>
      </c>
      <c r="F17" s="540">
        <v>14</v>
      </c>
      <c r="G17" s="539">
        <f>F17*E17</f>
        <v>882</v>
      </c>
    </row>
    <row r="18" spans="1:8" ht="17.25" customHeight="1">
      <c r="A18" s="536">
        <v>4</v>
      </c>
      <c r="B18" s="542" t="s">
        <v>235</v>
      </c>
      <c r="C18" s="544">
        <v>7130870013</v>
      </c>
      <c r="D18" s="536" t="s">
        <v>26</v>
      </c>
      <c r="E18" s="539">
        <f>VLOOKUP(C18,'SOR RATE'!A:D,4,0)</f>
        <v>100</v>
      </c>
      <c r="F18" s="540">
        <v>20</v>
      </c>
      <c r="G18" s="539">
        <f>F18*E18</f>
        <v>2000</v>
      </c>
      <c r="H18" s="753"/>
    </row>
    <row r="19" spans="1:14" ht="29.25" customHeight="1">
      <c r="A19" s="538">
        <v>5</v>
      </c>
      <c r="B19" s="327" t="s">
        <v>252</v>
      </c>
      <c r="C19" s="328">
        <v>7131950012</v>
      </c>
      <c r="D19" s="536" t="s">
        <v>26</v>
      </c>
      <c r="E19" s="539">
        <f>VLOOKUP(C19,'SOR RATE'!A:D,4,0)</f>
        <v>1355</v>
      </c>
      <c r="F19" s="540">
        <v>20</v>
      </c>
      <c r="G19" s="539">
        <f>F19*E19</f>
        <v>27100</v>
      </c>
      <c r="H19" s="181"/>
      <c r="I19" s="720"/>
      <c r="J19" s="720"/>
      <c r="K19" s="720"/>
      <c r="L19" s="720"/>
      <c r="M19" s="720"/>
      <c r="N19" s="720"/>
    </row>
    <row r="20" spans="1:8" ht="14.25">
      <c r="A20" s="538">
        <v>6</v>
      </c>
      <c r="B20" s="327" t="s">
        <v>796</v>
      </c>
      <c r="C20" s="91">
        <v>7130810077</v>
      </c>
      <c r="D20" s="53" t="s">
        <v>26</v>
      </c>
      <c r="E20" s="539">
        <f>VLOOKUP(C20,'SOR RATE'!A:D,4,0)</f>
        <v>394</v>
      </c>
      <c r="F20" s="540">
        <v>25</v>
      </c>
      <c r="G20" s="539">
        <f aca="true" t="shared" si="0" ref="G20:G26">F20*E20</f>
        <v>9850</v>
      </c>
      <c r="H20" s="392"/>
    </row>
    <row r="21" spans="1:8" ht="14.25">
      <c r="A21" s="538">
        <v>7</v>
      </c>
      <c r="B21" s="327" t="s">
        <v>794</v>
      </c>
      <c r="C21" s="91">
        <v>7130893004</v>
      </c>
      <c r="D21" s="53" t="s">
        <v>26</v>
      </c>
      <c r="E21" s="539">
        <f>VLOOKUP(C21,'SOR RATE'!A:D,4,0)</f>
        <v>161</v>
      </c>
      <c r="F21" s="540">
        <v>25</v>
      </c>
      <c r="G21" s="539">
        <f t="shared" si="0"/>
        <v>4025</v>
      </c>
      <c r="H21" s="392"/>
    </row>
    <row r="22" spans="1:8" ht="14.25">
      <c r="A22" s="538">
        <v>8</v>
      </c>
      <c r="B22" s="327" t="s">
        <v>1020</v>
      </c>
      <c r="C22" s="91">
        <v>7130810102</v>
      </c>
      <c r="D22" s="53" t="s">
        <v>26</v>
      </c>
      <c r="E22" s="539">
        <f>VLOOKUP(C22,'SOR RATE'!A:D,4,0)</f>
        <v>349</v>
      </c>
      <c r="F22" s="540">
        <v>20</v>
      </c>
      <c r="G22" s="539">
        <f t="shared" si="0"/>
        <v>6980</v>
      </c>
      <c r="H22" s="392"/>
    </row>
    <row r="23" spans="1:8" ht="17.25" customHeight="1">
      <c r="A23" s="53">
        <v>9</v>
      </c>
      <c r="B23" s="327" t="s">
        <v>260</v>
      </c>
      <c r="C23" s="328">
        <v>7130311008</v>
      </c>
      <c r="D23" s="53" t="s">
        <v>307</v>
      </c>
      <c r="E23" s="539">
        <f>VLOOKUP(C23,'SOR RATE'!A:D,4,0)/1000</f>
        <v>15.99</v>
      </c>
      <c r="F23" s="540">
        <v>200</v>
      </c>
      <c r="G23" s="539">
        <f t="shared" si="0"/>
        <v>3198</v>
      </c>
      <c r="H23" s="392"/>
    </row>
    <row r="24" spans="1:8" ht="17.25" customHeight="1">
      <c r="A24" s="538">
        <v>10</v>
      </c>
      <c r="B24" s="327" t="s">
        <v>1022</v>
      </c>
      <c r="C24" s="328">
        <v>7130390007</v>
      </c>
      <c r="D24" s="53" t="s">
        <v>26</v>
      </c>
      <c r="E24" s="539">
        <f>VLOOKUP(C24,'SOR RATE'!A:D,4,0)</f>
        <v>172</v>
      </c>
      <c r="F24" s="540">
        <v>20</v>
      </c>
      <c r="G24" s="539">
        <f t="shared" si="0"/>
        <v>3440</v>
      </c>
      <c r="H24" s="392"/>
    </row>
    <row r="25" spans="1:8" ht="15" customHeight="1">
      <c r="A25" s="538">
        <v>11</v>
      </c>
      <c r="B25" s="327" t="s">
        <v>1023</v>
      </c>
      <c r="C25" s="328">
        <v>7130390019</v>
      </c>
      <c r="D25" s="53" t="s">
        <v>26</v>
      </c>
      <c r="E25" s="539">
        <f>VLOOKUP(C25,'SOR RATE'!A:D,4,0)</f>
        <v>28</v>
      </c>
      <c r="F25" s="540">
        <v>20</v>
      </c>
      <c r="G25" s="539">
        <f t="shared" si="0"/>
        <v>560</v>
      </c>
      <c r="H25" s="392"/>
    </row>
    <row r="26" spans="1:8" ht="20.25" customHeight="1">
      <c r="A26" s="53">
        <v>12</v>
      </c>
      <c r="B26" s="327" t="s">
        <v>126</v>
      </c>
      <c r="C26" s="328">
        <v>7130320053</v>
      </c>
      <c r="D26" s="53" t="s">
        <v>26</v>
      </c>
      <c r="E26" s="539">
        <f>VLOOKUP(C26,'SOR RATE'!A:D,4,0)</f>
        <v>5</v>
      </c>
      <c r="F26" s="540">
        <v>530</v>
      </c>
      <c r="G26" s="539">
        <f t="shared" si="0"/>
        <v>2650</v>
      </c>
      <c r="H26" s="392"/>
    </row>
    <row r="27" spans="1:10" ht="15">
      <c r="A27" s="535">
        <v>13</v>
      </c>
      <c r="B27" s="439" t="s">
        <v>937</v>
      </c>
      <c r="C27" s="544"/>
      <c r="D27" s="536"/>
      <c r="E27" s="536"/>
      <c r="F27" s="536"/>
      <c r="G27" s="548">
        <f>G9+G10+G11+G12+G13+G15+G16+G17+G18+G19+G20+G21+G22+G23+G24+G25+G26</f>
        <v>224217.58</v>
      </c>
      <c r="H27" s="442"/>
      <c r="I27" s="549"/>
      <c r="J27" s="38"/>
    </row>
    <row r="28" spans="1:10" ht="16.5" customHeight="1">
      <c r="A28" s="538">
        <v>14</v>
      </c>
      <c r="B28" s="443" t="s">
        <v>936</v>
      </c>
      <c r="C28" s="550"/>
      <c r="D28" s="551"/>
      <c r="E28" s="544">
        <v>0.09</v>
      </c>
      <c r="F28" s="551"/>
      <c r="G28" s="539">
        <f>G27*E28</f>
        <v>20179.582199999997</v>
      </c>
      <c r="H28" s="442"/>
      <c r="I28" s="549"/>
      <c r="J28" s="38"/>
    </row>
    <row r="29" spans="1:10" ht="18.75" customHeight="1">
      <c r="A29" s="53">
        <v>15</v>
      </c>
      <c r="B29" s="327" t="s">
        <v>261</v>
      </c>
      <c r="C29" s="552"/>
      <c r="D29" s="536"/>
      <c r="E29" s="185"/>
      <c r="F29" s="536"/>
      <c r="G29" s="539">
        <v>28867.43</v>
      </c>
      <c r="H29" s="553"/>
      <c r="I29" s="64"/>
      <c r="J29" s="554"/>
    </row>
    <row r="30" spans="1:10" ht="17.25" customHeight="1">
      <c r="A30" s="547">
        <v>16</v>
      </c>
      <c r="B30" s="327" t="s">
        <v>949</v>
      </c>
      <c r="C30" s="552"/>
      <c r="D30" s="536"/>
      <c r="E30" s="185"/>
      <c r="F30" s="536"/>
      <c r="G30" s="539">
        <f>4718.8*1.1402*0.9368</f>
        <v>5040.336011968001</v>
      </c>
      <c r="H30" s="392"/>
      <c r="J30" s="38"/>
    </row>
    <row r="31" spans="1:10" ht="15.75" customHeight="1">
      <c r="A31" s="534">
        <v>17</v>
      </c>
      <c r="B31" s="439" t="s">
        <v>938</v>
      </c>
      <c r="C31" s="552"/>
      <c r="D31" s="536"/>
      <c r="E31" s="164"/>
      <c r="F31" s="536"/>
      <c r="G31" s="548">
        <f>G27+G28+G29+G30</f>
        <v>278304.92821196804</v>
      </c>
      <c r="H31" s="455"/>
      <c r="I31" s="434"/>
      <c r="J31" s="38"/>
    </row>
    <row r="32" spans="1:10" ht="30.75" customHeight="1">
      <c r="A32" s="537">
        <v>18</v>
      </c>
      <c r="B32" s="443" t="s">
        <v>939</v>
      </c>
      <c r="C32" s="552"/>
      <c r="D32" s="536"/>
      <c r="E32" s="164">
        <v>0.11</v>
      </c>
      <c r="F32" s="536"/>
      <c r="G32" s="539">
        <f>G27*E32</f>
        <v>24663.9338</v>
      </c>
      <c r="H32" s="455"/>
      <c r="I32" s="434"/>
      <c r="J32" s="38"/>
    </row>
    <row r="33" spans="1:8" ht="18.75" customHeight="1">
      <c r="A33" s="536">
        <v>19</v>
      </c>
      <c r="B33" s="542" t="s">
        <v>262</v>
      </c>
      <c r="C33" s="544"/>
      <c r="D33" s="539"/>
      <c r="E33" s="536"/>
      <c r="F33" s="536"/>
      <c r="G33" s="539">
        <f>G29/2</f>
        <v>14433.715</v>
      </c>
      <c r="H33" s="392"/>
    </row>
    <row r="34" spans="1:7" ht="15" customHeight="1">
      <c r="A34" s="536">
        <v>20</v>
      </c>
      <c r="B34" s="542" t="s">
        <v>351</v>
      </c>
      <c r="C34" s="544"/>
      <c r="D34" s="539"/>
      <c r="E34" s="536"/>
      <c r="F34" s="536"/>
      <c r="G34" s="539">
        <f>G31+G32+G33</f>
        <v>317402.57701196807</v>
      </c>
    </row>
    <row r="35" spans="1:7" ht="17.25" customHeight="1">
      <c r="A35" s="555">
        <v>21</v>
      </c>
      <c r="B35" s="556" t="s">
        <v>350</v>
      </c>
      <c r="C35" s="557"/>
      <c r="D35" s="548"/>
      <c r="E35" s="555"/>
      <c r="F35" s="536"/>
      <c r="G35" s="548">
        <f>ROUND(G34,0)</f>
        <v>317403</v>
      </c>
    </row>
    <row r="36" spans="1:7" ht="14.25">
      <c r="A36" s="27"/>
      <c r="B36" s="27"/>
      <c r="C36" s="27"/>
      <c r="D36" s="27"/>
      <c r="E36" s="27"/>
      <c r="F36" s="27"/>
      <c r="G36" s="27"/>
    </row>
    <row r="37" spans="1:7" ht="12.75">
      <c r="A37" s="17"/>
      <c r="B37" s="17"/>
      <c r="C37" s="17"/>
      <c r="D37" s="17"/>
      <c r="E37" s="17"/>
      <c r="F37" s="17"/>
      <c r="G37" s="17"/>
    </row>
    <row r="38" spans="1:7" ht="12.75">
      <c r="A38" s="17"/>
      <c r="B38" s="17"/>
      <c r="C38" s="17"/>
      <c r="D38" s="17"/>
      <c r="E38" s="17"/>
      <c r="F38" s="17"/>
      <c r="G38" s="17"/>
    </row>
  </sheetData>
  <sheetProtection/>
  <mergeCells count="12">
    <mergeCell ref="A14:A17"/>
    <mergeCell ref="A6:A7"/>
    <mergeCell ref="B6:B7"/>
    <mergeCell ref="C6:C7"/>
    <mergeCell ref="D6:D7"/>
    <mergeCell ref="B3:G3"/>
    <mergeCell ref="B4:E4"/>
    <mergeCell ref="F5:G5"/>
    <mergeCell ref="B1:E1"/>
    <mergeCell ref="I10:L10"/>
    <mergeCell ref="E6:E7"/>
    <mergeCell ref="F6:G6"/>
  </mergeCells>
  <printOptions/>
  <pageMargins left="0.82" right="0.16" top="0.73" bottom="0.24" header="0.5" footer="0.16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140625" style="23" customWidth="1"/>
    <col min="2" max="2" width="65.28125" style="2" customWidth="1"/>
    <col min="3" max="3" width="13.28125" style="2" customWidth="1"/>
    <col min="4" max="4" width="6.140625" style="2" bestFit="1" customWidth="1"/>
    <col min="5" max="5" width="8.28125" style="2" customWidth="1"/>
    <col min="6" max="6" width="10.00390625" style="2" customWidth="1"/>
    <col min="7" max="7" width="11.8515625" style="2" bestFit="1" customWidth="1"/>
    <col min="8" max="8" width="16.28125" style="2" customWidth="1"/>
    <col min="9" max="9" width="14.57421875" style="2" customWidth="1"/>
    <col min="10" max="10" width="11.00390625" style="2" bestFit="1" customWidth="1"/>
    <col min="11" max="11" width="6.28125" style="2" customWidth="1"/>
    <col min="12" max="12" width="6.00390625" style="2" bestFit="1" customWidth="1"/>
    <col min="13" max="16384" width="9.140625" style="2" customWidth="1"/>
  </cols>
  <sheetData>
    <row r="1" spans="1:11" ht="20.25">
      <c r="A1" s="558"/>
      <c r="B1" s="849" t="s">
        <v>263</v>
      </c>
      <c r="C1" s="849"/>
      <c r="D1" s="849"/>
      <c r="E1" s="849"/>
      <c r="F1" s="849"/>
      <c r="G1" s="559"/>
      <c r="J1" s="560"/>
      <c r="K1" s="560"/>
    </row>
    <row r="2" spans="1:11" ht="10.5" customHeight="1">
      <c r="A2" s="558"/>
      <c r="B2" s="528"/>
      <c r="C2" s="528"/>
      <c r="D2" s="528"/>
      <c r="E2" s="528"/>
      <c r="F2" s="528"/>
      <c r="G2" s="559"/>
      <c r="J2" s="561"/>
      <c r="K2" s="561"/>
    </row>
    <row r="3" spans="2:7" ht="21.75" customHeight="1">
      <c r="B3" s="850" t="s">
        <v>1162</v>
      </c>
      <c r="C3" s="850"/>
      <c r="D3" s="850"/>
      <c r="E3" s="850"/>
      <c r="F3" s="850"/>
      <c r="G3" s="562"/>
    </row>
    <row r="4" spans="2:7" ht="15.75">
      <c r="B4" s="309"/>
      <c r="C4" s="309"/>
      <c r="D4" s="309"/>
      <c r="E4" s="309"/>
      <c r="F4" s="309"/>
      <c r="G4" s="309"/>
    </row>
    <row r="5" spans="2:7" ht="18.75">
      <c r="B5" s="563"/>
      <c r="C5" s="563"/>
      <c r="D5" s="563"/>
      <c r="E5" s="563"/>
      <c r="F5" s="563"/>
      <c r="G5" s="721" t="s">
        <v>1003</v>
      </c>
    </row>
    <row r="6" spans="1:7" ht="35.25" customHeight="1">
      <c r="A6" s="564" t="s">
        <v>191</v>
      </c>
      <c r="B6" s="565" t="s">
        <v>23</v>
      </c>
      <c r="C6" s="566" t="s">
        <v>698</v>
      </c>
      <c r="D6" s="565" t="s">
        <v>24</v>
      </c>
      <c r="E6" s="565" t="s">
        <v>844</v>
      </c>
      <c r="F6" s="567" t="s">
        <v>1010</v>
      </c>
      <c r="G6" s="568" t="s">
        <v>1047</v>
      </c>
    </row>
    <row r="7" spans="1:7" ht="15.75">
      <c r="A7" s="565">
        <v>1</v>
      </c>
      <c r="B7" s="565">
        <v>2</v>
      </c>
      <c r="C7" s="569">
        <v>3</v>
      </c>
      <c r="D7" s="565">
        <v>4</v>
      </c>
      <c r="E7" s="565">
        <v>5</v>
      </c>
      <c r="F7" s="567">
        <v>6</v>
      </c>
      <c r="G7" s="568">
        <v>7</v>
      </c>
    </row>
    <row r="8" spans="1:9" ht="18.75" customHeight="1">
      <c r="A8" s="570">
        <v>1</v>
      </c>
      <c r="B8" s="571" t="s">
        <v>1163</v>
      </c>
      <c r="C8" s="163">
        <v>7130600635</v>
      </c>
      <c r="D8" s="570" t="s">
        <v>32</v>
      </c>
      <c r="E8" s="572">
        <v>122.74</v>
      </c>
      <c r="F8" s="572">
        <f>VLOOKUP(C8,'SOR RATE'!A:D,4,0)/1000</f>
        <v>44.989</v>
      </c>
      <c r="G8" s="572">
        <f aca="true" t="shared" si="0" ref="G8:G15">E8*F8</f>
        <v>5521.94986</v>
      </c>
      <c r="I8" s="31"/>
    </row>
    <row r="9" spans="1:7" ht="30.75" customHeight="1">
      <c r="A9" s="851">
        <v>2</v>
      </c>
      <c r="B9" s="573" t="s">
        <v>1164</v>
      </c>
      <c r="C9" s="571"/>
      <c r="D9" s="570" t="s">
        <v>28</v>
      </c>
      <c r="E9" s="572">
        <f>0.35</f>
        <v>0.35</v>
      </c>
      <c r="F9" s="572"/>
      <c r="G9" s="572"/>
    </row>
    <row r="10" spans="1:7" ht="17.25" customHeight="1">
      <c r="A10" s="852"/>
      <c r="B10" s="571" t="s">
        <v>752</v>
      </c>
      <c r="C10" s="574">
        <v>7130200401</v>
      </c>
      <c r="D10" s="570" t="s">
        <v>32</v>
      </c>
      <c r="E10" s="575">
        <f>208*E9</f>
        <v>72.8</v>
      </c>
      <c r="F10" s="572">
        <f>VLOOKUP(C10,'SOR RATE'!A:D,4,0)/50</f>
        <v>5.36</v>
      </c>
      <c r="G10" s="572">
        <f t="shared" si="0"/>
        <v>390.208</v>
      </c>
    </row>
    <row r="11" spans="1:9" ht="32.25" customHeight="1">
      <c r="A11" s="53" t="s">
        <v>1165</v>
      </c>
      <c r="B11" s="413" t="s">
        <v>1215</v>
      </c>
      <c r="C11" s="91">
        <v>7130797533</v>
      </c>
      <c r="D11" s="577" t="s">
        <v>26</v>
      </c>
      <c r="E11" s="578">
        <v>1</v>
      </c>
      <c r="F11" s="572">
        <f>VLOOKUP(C11,'SOR RATE'!A:D,4,0)</f>
        <v>435</v>
      </c>
      <c r="G11" s="579">
        <f t="shared" si="0"/>
        <v>435</v>
      </c>
      <c r="I11" s="728" t="s">
        <v>1161</v>
      </c>
    </row>
    <row r="12" spans="1:12" ht="30" customHeight="1">
      <c r="A12" s="576" t="s">
        <v>1005</v>
      </c>
      <c r="B12" s="729" t="s">
        <v>656</v>
      </c>
      <c r="C12" s="86">
        <v>7130390003</v>
      </c>
      <c r="D12" s="577" t="s">
        <v>26</v>
      </c>
      <c r="E12" s="578">
        <v>4</v>
      </c>
      <c r="F12" s="572">
        <f>VLOOKUP(C12,'SOR RATE'!A:D,4,0)</f>
        <v>80</v>
      </c>
      <c r="G12" s="579">
        <f t="shared" si="0"/>
        <v>320</v>
      </c>
      <c r="I12" s="832" t="s">
        <v>840</v>
      </c>
      <c r="J12" s="832"/>
      <c r="K12" s="832"/>
      <c r="L12" s="832"/>
    </row>
    <row r="13" spans="1:7" ht="18" customHeight="1">
      <c r="A13" s="576" t="s">
        <v>1006</v>
      </c>
      <c r="B13" s="413" t="s">
        <v>1051</v>
      </c>
      <c r="C13" s="86">
        <v>7130390006</v>
      </c>
      <c r="D13" s="577" t="s">
        <v>26</v>
      </c>
      <c r="E13" s="578">
        <v>1</v>
      </c>
      <c r="F13" s="572">
        <f>VLOOKUP(C13,'SOR RATE'!A:D,4,0)</f>
        <v>149</v>
      </c>
      <c r="G13" s="579">
        <f t="shared" si="0"/>
        <v>149</v>
      </c>
    </row>
    <row r="14" spans="1:14" ht="30" customHeight="1">
      <c r="A14" s="576">
        <v>4</v>
      </c>
      <c r="B14" s="327" t="s">
        <v>252</v>
      </c>
      <c r="C14" s="328">
        <v>7131950012</v>
      </c>
      <c r="D14" s="570" t="s">
        <v>26</v>
      </c>
      <c r="E14" s="575">
        <v>1</v>
      </c>
      <c r="F14" s="572">
        <f>VLOOKUP(C14,'SOR RATE'!A:D,4,0)</f>
        <v>1355</v>
      </c>
      <c r="G14" s="572">
        <f t="shared" si="0"/>
        <v>1355</v>
      </c>
      <c r="H14" s="181"/>
      <c r="I14" s="720"/>
      <c r="J14" s="720"/>
      <c r="K14" s="720"/>
      <c r="L14" s="720"/>
      <c r="M14" s="720"/>
      <c r="N14" s="720"/>
    </row>
    <row r="15" spans="1:7" ht="17.25" customHeight="1">
      <c r="A15" s="544">
        <v>5</v>
      </c>
      <c r="B15" s="327" t="s">
        <v>1334</v>
      </c>
      <c r="C15" s="544">
        <v>7130870013</v>
      </c>
      <c r="D15" s="570" t="s">
        <v>26</v>
      </c>
      <c r="E15" s="575">
        <v>1</v>
      </c>
      <c r="F15" s="572">
        <f>VLOOKUP(C15,'SOR RATE'!A:D,4,0)</f>
        <v>100</v>
      </c>
      <c r="G15" s="572">
        <f t="shared" si="0"/>
        <v>100</v>
      </c>
    </row>
    <row r="16" spans="1:9" ht="15">
      <c r="A16" s="96">
        <v>6</v>
      </c>
      <c r="B16" s="439" t="s">
        <v>937</v>
      </c>
      <c r="C16" s="159"/>
      <c r="D16" s="159"/>
      <c r="E16" s="26"/>
      <c r="F16" s="26"/>
      <c r="G16" s="745">
        <f>SUM(G8:G15)</f>
        <v>8271.15786</v>
      </c>
      <c r="H16" s="442"/>
      <c r="I16" s="549"/>
    </row>
    <row r="17" spans="1:9" ht="16.5" customHeight="1">
      <c r="A17" s="84">
        <v>7</v>
      </c>
      <c r="B17" s="443" t="s">
        <v>936</v>
      </c>
      <c r="C17" s="125"/>
      <c r="D17" s="125"/>
      <c r="E17" s="125"/>
      <c r="F17" s="99">
        <v>0.09</v>
      </c>
      <c r="G17" s="746">
        <f>G16*F17</f>
        <v>744.4042073999999</v>
      </c>
      <c r="H17" s="442"/>
      <c r="I17" s="549"/>
    </row>
    <row r="18" spans="1:7" ht="16.5" customHeight="1">
      <c r="A18" s="84">
        <v>8</v>
      </c>
      <c r="B18" s="237" t="s">
        <v>310</v>
      </c>
      <c r="C18" s="233"/>
      <c r="D18" s="87" t="s">
        <v>28</v>
      </c>
      <c r="E18" s="87">
        <v>0.35</v>
      </c>
      <c r="F18" s="89">
        <f>1664*1.27*1.0891*1.086275*1.1112*1.0685</f>
        <v>2968.460981603261</v>
      </c>
      <c r="G18" s="89">
        <f>E18*F18</f>
        <v>1038.9613435611413</v>
      </c>
    </row>
    <row r="19" spans="1:10" ht="18.75" customHeight="1">
      <c r="A19" s="87">
        <v>9</v>
      </c>
      <c r="B19" s="93" t="s">
        <v>1052</v>
      </c>
      <c r="C19" s="122"/>
      <c r="D19" s="243"/>
      <c r="E19" s="87"/>
      <c r="F19" s="87"/>
      <c r="G19" s="89">
        <v>1323.89</v>
      </c>
      <c r="H19" s="553"/>
      <c r="I19" s="64"/>
      <c r="J19" s="21"/>
    </row>
    <row r="20" spans="1:8" ht="17.25" customHeight="1">
      <c r="A20" s="84">
        <v>10</v>
      </c>
      <c r="B20" s="327" t="s">
        <v>949</v>
      </c>
      <c r="C20" s="121"/>
      <c r="D20" s="161"/>
      <c r="E20" s="99"/>
      <c r="F20" s="99"/>
      <c r="G20" s="89">
        <f>516.7*1.1402*0.9368</f>
        <v>551.9076073120001</v>
      </c>
      <c r="H20" s="392"/>
    </row>
    <row r="21" spans="1:8" ht="18" customHeight="1">
      <c r="A21" s="96">
        <v>11</v>
      </c>
      <c r="B21" s="439" t="s">
        <v>938</v>
      </c>
      <c r="C21" s="121"/>
      <c r="D21" s="161"/>
      <c r="E21" s="99"/>
      <c r="F21" s="99"/>
      <c r="G21" s="98">
        <f>G16+G17+G18+G19+G20</f>
        <v>11930.321018273138</v>
      </c>
      <c r="H21" s="455"/>
    </row>
    <row r="22" spans="1:8" ht="31.5" customHeight="1">
      <c r="A22" s="84">
        <v>12</v>
      </c>
      <c r="B22" s="443" t="s">
        <v>939</v>
      </c>
      <c r="C22" s="121"/>
      <c r="D22" s="161"/>
      <c r="E22" s="99"/>
      <c r="F22" s="87">
        <v>0.11</v>
      </c>
      <c r="G22" s="89">
        <f>G16*F22</f>
        <v>909.8273645999999</v>
      </c>
      <c r="H22" s="455"/>
    </row>
    <row r="23" spans="1:7" ht="17.25" customHeight="1">
      <c r="A23" s="87">
        <v>13</v>
      </c>
      <c r="B23" s="243" t="s">
        <v>672</v>
      </c>
      <c r="C23" s="161"/>
      <c r="D23" s="161"/>
      <c r="E23" s="99"/>
      <c r="F23" s="99"/>
      <c r="G23" s="89">
        <f>G21+G22</f>
        <v>12840.148382873138</v>
      </c>
    </row>
    <row r="24" spans="1:7" ht="19.5" customHeight="1">
      <c r="A24" s="36">
        <v>14</v>
      </c>
      <c r="B24" s="556" t="s">
        <v>671</v>
      </c>
      <c r="C24" s="580"/>
      <c r="D24" s="580"/>
      <c r="E24" s="580"/>
      <c r="F24" s="580"/>
      <c r="G24" s="98">
        <f>ROUND(G23,0)</f>
        <v>12840</v>
      </c>
    </row>
  </sheetData>
  <sheetProtection/>
  <mergeCells count="4">
    <mergeCell ref="B1:F1"/>
    <mergeCell ref="B3:F3"/>
    <mergeCell ref="A9:A10"/>
    <mergeCell ref="I12:L12"/>
  </mergeCells>
  <printOptions/>
  <pageMargins left="0.9" right="0.12" top="1" bottom="0.27" header="0.5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M7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8515625" style="23" customWidth="1"/>
    <col min="2" max="2" width="71.28125" style="2" customWidth="1"/>
    <col min="3" max="3" width="12.7109375" style="2" customWidth="1"/>
    <col min="4" max="4" width="5.140625" style="2" bestFit="1" customWidth="1"/>
    <col min="5" max="5" width="9.421875" style="2" customWidth="1"/>
    <col min="6" max="6" width="6.7109375" style="2" customWidth="1"/>
    <col min="7" max="7" width="14.00390625" style="2" customWidth="1"/>
    <col min="8" max="8" width="19.140625" style="2" customWidth="1"/>
    <col min="9" max="9" width="21.57421875" style="2" customWidth="1"/>
    <col min="10" max="10" width="11.00390625" style="2" bestFit="1" customWidth="1"/>
    <col min="11" max="11" width="3.28125" style="2" bestFit="1" customWidth="1"/>
    <col min="12" max="12" width="2.7109375" style="2" customWidth="1"/>
    <col min="13" max="13" width="5.00390625" style="2" bestFit="1" customWidth="1"/>
    <col min="14" max="16384" width="9.140625" style="2" customWidth="1"/>
  </cols>
  <sheetData>
    <row r="1" spans="2:8" ht="18" customHeight="1">
      <c r="B1" s="816" t="s">
        <v>612</v>
      </c>
      <c r="C1" s="816"/>
      <c r="D1" s="390"/>
      <c r="E1" s="390"/>
      <c r="F1" s="390"/>
      <c r="G1" s="390"/>
      <c r="H1" s="390"/>
    </row>
    <row r="2" spans="1:7" ht="9.75" customHeight="1">
      <c r="A2" s="393"/>
      <c r="B2" s="393"/>
      <c r="C2" s="393"/>
      <c r="D2" s="393"/>
      <c r="E2" s="393"/>
      <c r="F2" s="393"/>
      <c r="G2" s="393"/>
    </row>
    <row r="3" spans="1:7" ht="24" customHeight="1">
      <c r="A3" s="781" t="s">
        <v>613</v>
      </c>
      <c r="B3" s="781"/>
      <c r="C3" s="781"/>
      <c r="D3" s="781"/>
      <c r="E3" s="781"/>
      <c r="F3" s="781"/>
      <c r="G3" s="781"/>
    </row>
    <row r="4" spans="1:7" ht="15.75">
      <c r="A4" s="322"/>
      <c r="B4" s="322"/>
      <c r="C4" s="322"/>
      <c r="D4" s="322"/>
      <c r="E4" s="322"/>
      <c r="F4" s="322"/>
      <c r="G4" s="322"/>
    </row>
    <row r="5" spans="1:7" ht="15.75">
      <c r="A5" s="581"/>
      <c r="B5" s="581"/>
      <c r="C5" s="581"/>
      <c r="D5" s="581"/>
      <c r="E5" s="581"/>
      <c r="F5" s="581"/>
      <c r="G5" s="730" t="s">
        <v>1003</v>
      </c>
    </row>
    <row r="6" spans="1:7" ht="8.25" customHeight="1">
      <c r="A6" s="581"/>
      <c r="B6" s="581"/>
      <c r="C6" s="581"/>
      <c r="D6" s="581"/>
      <c r="E6" s="581"/>
      <c r="F6" s="581"/>
      <c r="G6" s="228"/>
    </row>
    <row r="7" spans="1:7" ht="30">
      <c r="A7" s="39" t="s">
        <v>191</v>
      </c>
      <c r="B7" s="39" t="s">
        <v>23</v>
      </c>
      <c r="C7" s="582" t="s">
        <v>614</v>
      </c>
      <c r="D7" s="14" t="s">
        <v>24</v>
      </c>
      <c r="E7" s="14" t="s">
        <v>1010</v>
      </c>
      <c r="F7" s="14" t="s">
        <v>25</v>
      </c>
      <c r="G7" s="14" t="s">
        <v>1047</v>
      </c>
    </row>
    <row r="8" spans="1:7" ht="15">
      <c r="A8" s="294" t="s">
        <v>892</v>
      </c>
      <c r="B8" s="294" t="s">
        <v>893</v>
      </c>
      <c r="C8" s="294">
        <v>3</v>
      </c>
      <c r="D8" s="294">
        <v>4</v>
      </c>
      <c r="E8" s="294">
        <v>5</v>
      </c>
      <c r="F8" s="294">
        <v>6</v>
      </c>
      <c r="G8" s="294">
        <v>7</v>
      </c>
    </row>
    <row r="9" spans="1:7" ht="15" customHeight="1">
      <c r="A9" s="182">
        <v>1</v>
      </c>
      <c r="B9" s="184" t="s">
        <v>615</v>
      </c>
      <c r="C9" s="118">
        <v>7132210008</v>
      </c>
      <c r="D9" s="182" t="s">
        <v>26</v>
      </c>
      <c r="E9" s="119">
        <f>VLOOKUP(C9,'SOR RATE'!A:D,4,0)</f>
        <v>54268</v>
      </c>
      <c r="F9" s="583">
        <v>5</v>
      </c>
      <c r="G9" s="584">
        <f aca="true" t="shared" si="0" ref="G9:G33">F9*E9</f>
        <v>271340</v>
      </c>
    </row>
    <row r="10" spans="1:8" ht="19.5" customHeight="1">
      <c r="A10" s="182">
        <v>2</v>
      </c>
      <c r="B10" s="162" t="s">
        <v>616</v>
      </c>
      <c r="C10" s="118">
        <v>7132210007</v>
      </c>
      <c r="D10" s="182" t="s">
        <v>26</v>
      </c>
      <c r="E10" s="119">
        <f>VLOOKUP(C10,'SOR RATE'!A:D,4,0)</f>
        <v>44836</v>
      </c>
      <c r="F10" s="182">
        <v>4</v>
      </c>
      <c r="G10" s="584">
        <f t="shared" si="0"/>
        <v>179344</v>
      </c>
      <c r="H10" s="31"/>
    </row>
    <row r="11" spans="1:7" ht="19.5" customHeight="1">
      <c r="A11" s="182">
        <v>3</v>
      </c>
      <c r="B11" s="162" t="s">
        <v>617</v>
      </c>
      <c r="C11" s="118">
        <v>7132210078</v>
      </c>
      <c r="D11" s="182" t="s">
        <v>26</v>
      </c>
      <c r="E11" s="119">
        <f>VLOOKUP(C11,'SOR RATE'!A:D,4,0)</f>
        <v>36194</v>
      </c>
      <c r="F11" s="182">
        <v>4</v>
      </c>
      <c r="G11" s="584">
        <f>F11*E11</f>
        <v>144776</v>
      </c>
    </row>
    <row r="12" spans="1:7" ht="15.75" customHeight="1">
      <c r="A12" s="182">
        <v>4</v>
      </c>
      <c r="B12" s="585" t="s">
        <v>618</v>
      </c>
      <c r="C12" s="118">
        <v>7130800012</v>
      </c>
      <c r="D12" s="118" t="s">
        <v>26</v>
      </c>
      <c r="E12" s="119">
        <f>VLOOKUP(C12,'SOR RATE'!A:D,4,0)</f>
        <v>1654</v>
      </c>
      <c r="F12" s="583">
        <v>10</v>
      </c>
      <c r="G12" s="584">
        <f t="shared" si="0"/>
        <v>16540</v>
      </c>
    </row>
    <row r="13" spans="1:7" ht="16.5" customHeight="1">
      <c r="A13" s="855">
        <v>5</v>
      </c>
      <c r="B13" s="162" t="s">
        <v>619</v>
      </c>
      <c r="C13" s="586">
        <v>7130860032</v>
      </c>
      <c r="D13" s="182" t="s">
        <v>26</v>
      </c>
      <c r="E13" s="119">
        <f>VLOOKUP(C13,'SOR RATE'!A:D,4,0)</f>
        <v>387</v>
      </c>
      <c r="F13" s="583">
        <v>40</v>
      </c>
      <c r="G13" s="584">
        <f t="shared" si="0"/>
        <v>15480</v>
      </c>
    </row>
    <row r="14" spans="1:7" ht="18" customHeight="1">
      <c r="A14" s="860"/>
      <c r="B14" s="162" t="s">
        <v>620</v>
      </c>
      <c r="C14" s="586">
        <v>7130860077</v>
      </c>
      <c r="D14" s="182" t="s">
        <v>32</v>
      </c>
      <c r="E14" s="119">
        <f>VLOOKUP(C14,'SOR RATE'!A:D,4,0)/1000</f>
        <v>61.6</v>
      </c>
      <c r="F14" s="583">
        <v>220</v>
      </c>
      <c r="G14" s="584">
        <f t="shared" si="0"/>
        <v>13552</v>
      </c>
    </row>
    <row r="15" spans="1:7" ht="14.25" customHeight="1">
      <c r="A15" s="856"/>
      <c r="B15" s="162" t="s">
        <v>264</v>
      </c>
      <c r="C15" s="593">
        <v>7130810026</v>
      </c>
      <c r="D15" s="182" t="s">
        <v>26</v>
      </c>
      <c r="E15" s="119">
        <f>VLOOKUP(C15,'SOR RATE'!A:D,4,0)</f>
        <v>142</v>
      </c>
      <c r="F15" s="583">
        <v>40</v>
      </c>
      <c r="G15" s="584">
        <f t="shared" si="0"/>
        <v>5680</v>
      </c>
    </row>
    <row r="16" spans="1:7" ht="32.25" customHeight="1">
      <c r="A16" s="587">
        <v>6</v>
      </c>
      <c r="B16" s="588" t="s">
        <v>265</v>
      </c>
      <c r="C16" s="712">
        <v>7130850201</v>
      </c>
      <c r="D16" s="187" t="s">
        <v>1012</v>
      </c>
      <c r="E16" s="119">
        <f>VLOOKUP(C16,'SOR RATE'!A:D,4,0)</f>
        <v>4547</v>
      </c>
      <c r="F16" s="583">
        <v>11</v>
      </c>
      <c r="G16" s="584">
        <f t="shared" si="0"/>
        <v>50017</v>
      </c>
    </row>
    <row r="17" spans="1:9" ht="14.25">
      <c r="A17" s="587">
        <v>7</v>
      </c>
      <c r="B17" s="588" t="s">
        <v>266</v>
      </c>
      <c r="C17" s="315">
        <v>7130810509</v>
      </c>
      <c r="D17" s="164" t="s">
        <v>1012</v>
      </c>
      <c r="E17" s="119">
        <f>VLOOKUP(C17,'SOR RATE'!A205:D205,4,0)</f>
        <v>3322</v>
      </c>
      <c r="F17" s="583">
        <v>11</v>
      </c>
      <c r="G17" s="584">
        <f t="shared" si="0"/>
        <v>36542</v>
      </c>
      <c r="I17" s="31"/>
    </row>
    <row r="18" spans="1:7" ht="14.25">
      <c r="A18" s="587">
        <v>8</v>
      </c>
      <c r="B18" s="588" t="s">
        <v>267</v>
      </c>
      <c r="C18" s="712">
        <v>7130850201</v>
      </c>
      <c r="D18" s="187" t="s">
        <v>1012</v>
      </c>
      <c r="E18" s="119">
        <f>VLOOKUP(C18,'SOR RATE'!A:D,4,0)</f>
        <v>4547</v>
      </c>
      <c r="F18" s="583">
        <v>11</v>
      </c>
      <c r="G18" s="584">
        <f t="shared" si="0"/>
        <v>50017</v>
      </c>
    </row>
    <row r="19" spans="1:7" ht="14.25">
      <c r="A19" s="587">
        <v>9</v>
      </c>
      <c r="B19" s="588" t="s">
        <v>268</v>
      </c>
      <c r="C19" s="118">
        <v>7130810681</v>
      </c>
      <c r="D19" s="164" t="s">
        <v>26</v>
      </c>
      <c r="E19" s="119">
        <f>VLOOKUP(C19,'SOR RATE'!A:D,4,0)</f>
        <v>3227</v>
      </c>
      <c r="F19" s="583">
        <v>10</v>
      </c>
      <c r="G19" s="584">
        <f t="shared" si="0"/>
        <v>32270</v>
      </c>
    </row>
    <row r="20" spans="1:7" ht="14.25">
      <c r="A20" s="587">
        <v>10</v>
      </c>
      <c r="B20" s="588" t="s">
        <v>269</v>
      </c>
      <c r="C20" s="287">
        <v>7130820241</v>
      </c>
      <c r="D20" s="164" t="s">
        <v>26</v>
      </c>
      <c r="E20" s="119">
        <f>VLOOKUP(C20,'SOR RATE'!A:D,4,0)</f>
        <v>123</v>
      </c>
      <c r="F20" s="583">
        <v>60</v>
      </c>
      <c r="G20" s="584">
        <f t="shared" si="0"/>
        <v>7380</v>
      </c>
    </row>
    <row r="21" spans="1:9" ht="14.25">
      <c r="A21" s="587">
        <v>11</v>
      </c>
      <c r="B21" s="588" t="s">
        <v>1035</v>
      </c>
      <c r="C21" s="287">
        <v>7130820010</v>
      </c>
      <c r="D21" s="164" t="s">
        <v>26</v>
      </c>
      <c r="E21" s="119">
        <f>VLOOKUP(C21,'SOR RATE'!A:D,4,0)</f>
        <v>140</v>
      </c>
      <c r="F21" s="583">
        <v>60</v>
      </c>
      <c r="G21" s="584">
        <f t="shared" si="0"/>
        <v>8400</v>
      </c>
      <c r="I21" s="2" t="s">
        <v>1034</v>
      </c>
    </row>
    <row r="22" spans="1:9" ht="14.25">
      <c r="A22" s="587">
        <v>12</v>
      </c>
      <c r="B22" s="588" t="s">
        <v>1037</v>
      </c>
      <c r="C22" s="287">
        <v>7130840029</v>
      </c>
      <c r="D22" s="164" t="s">
        <v>26</v>
      </c>
      <c r="E22" s="119">
        <f>VLOOKUP(C22,'SOR RATE'!A:D,4,0)</f>
        <v>425</v>
      </c>
      <c r="F22" s="583">
        <v>33</v>
      </c>
      <c r="G22" s="584">
        <f t="shared" si="0"/>
        <v>14025</v>
      </c>
      <c r="I22" s="733" t="s">
        <v>1036</v>
      </c>
    </row>
    <row r="23" spans="1:7" ht="14.25">
      <c r="A23" s="587">
        <v>13</v>
      </c>
      <c r="B23" s="588" t="s">
        <v>270</v>
      </c>
      <c r="C23" s="287">
        <v>7131930412</v>
      </c>
      <c r="D23" s="164" t="s">
        <v>26</v>
      </c>
      <c r="E23" s="119">
        <f>VLOOKUP(C23,'SOR RATE'!A:D,4,0)</f>
        <v>1199</v>
      </c>
      <c r="F23" s="583">
        <v>33</v>
      </c>
      <c r="G23" s="584">
        <f t="shared" si="0"/>
        <v>39567</v>
      </c>
    </row>
    <row r="24" spans="1:7" s="19" customFormat="1" ht="17.25" customHeight="1">
      <c r="A24" s="587">
        <v>14</v>
      </c>
      <c r="B24" s="588" t="s">
        <v>271</v>
      </c>
      <c r="C24" s="589"/>
      <c r="D24" s="119" t="s">
        <v>26</v>
      </c>
      <c r="E24" s="119">
        <v>16000</v>
      </c>
      <c r="F24" s="583">
        <v>7</v>
      </c>
      <c r="G24" s="584">
        <f t="shared" si="0"/>
        <v>112000</v>
      </c>
    </row>
    <row r="25" spans="1:7" s="19" customFormat="1" ht="17.25" customHeight="1">
      <c r="A25" s="587">
        <v>15</v>
      </c>
      <c r="B25" s="588" t="s">
        <v>272</v>
      </c>
      <c r="C25" s="589"/>
      <c r="D25" s="119" t="s">
        <v>26</v>
      </c>
      <c r="E25" s="119">
        <v>13000</v>
      </c>
      <c r="F25" s="583">
        <v>4</v>
      </c>
      <c r="G25" s="584">
        <f t="shared" si="0"/>
        <v>52000</v>
      </c>
    </row>
    <row r="26" spans="1:13" s="19" customFormat="1" ht="15.75" customHeight="1">
      <c r="A26" s="587">
        <v>16</v>
      </c>
      <c r="B26" s="588" t="s">
        <v>273</v>
      </c>
      <c r="C26" s="586">
        <v>7130310021</v>
      </c>
      <c r="D26" s="164" t="s">
        <v>307</v>
      </c>
      <c r="E26" s="119">
        <f>VLOOKUP(C26,'SOR RATE'!A:D,4,0)/1000</f>
        <v>39.632</v>
      </c>
      <c r="F26" s="182">
        <v>220</v>
      </c>
      <c r="G26" s="584">
        <f t="shared" si="0"/>
        <v>8719.039999999999</v>
      </c>
      <c r="I26" s="261"/>
      <c r="J26" s="261"/>
      <c r="K26" s="261"/>
      <c r="L26" s="261"/>
      <c r="M26" s="261"/>
    </row>
    <row r="27" spans="1:13" s="19" customFormat="1" ht="16.5" customHeight="1">
      <c r="A27" s="587">
        <v>17</v>
      </c>
      <c r="B27" s="588" t="s">
        <v>274</v>
      </c>
      <c r="C27" s="287">
        <v>7130310044</v>
      </c>
      <c r="D27" s="164" t="s">
        <v>307</v>
      </c>
      <c r="E27" s="119">
        <f>VLOOKUP(C27,'SOR RATE'!A:D,4,0)/1000</f>
        <v>94.953</v>
      </c>
      <c r="F27" s="182">
        <v>10400</v>
      </c>
      <c r="G27" s="584">
        <f t="shared" si="0"/>
        <v>987511.2000000001</v>
      </c>
      <c r="I27" s="200"/>
      <c r="J27" s="200"/>
      <c r="K27" s="200"/>
      <c r="L27" s="200"/>
      <c r="M27" s="200"/>
    </row>
    <row r="28" spans="1:7" ht="14.25">
      <c r="A28" s="587">
        <v>18</v>
      </c>
      <c r="B28" s="588" t="s">
        <v>275</v>
      </c>
      <c r="C28" s="287">
        <v>7130641396</v>
      </c>
      <c r="D28" s="164" t="s">
        <v>307</v>
      </c>
      <c r="E28" s="119">
        <f>VLOOKUP(C28,'SOR RATE'!A:D,4,0)</f>
        <v>190</v>
      </c>
      <c r="F28" s="583">
        <v>99</v>
      </c>
      <c r="G28" s="584">
        <f t="shared" si="0"/>
        <v>18810</v>
      </c>
    </row>
    <row r="29" spans="1:7" ht="14.25">
      <c r="A29" s="587">
        <v>19</v>
      </c>
      <c r="B29" s="588" t="s">
        <v>172</v>
      </c>
      <c r="C29" s="287">
        <v>7130870043</v>
      </c>
      <c r="D29" s="164" t="s">
        <v>32</v>
      </c>
      <c r="E29" s="119">
        <f>VLOOKUP(C29,'SOR RATE'!A:D,4,0)/1000</f>
        <v>55.094</v>
      </c>
      <c r="F29" s="583">
        <v>660</v>
      </c>
      <c r="G29" s="584">
        <f t="shared" si="0"/>
        <v>36362.04</v>
      </c>
    </row>
    <row r="30" spans="1:9" ht="14.25">
      <c r="A30" s="587">
        <v>20</v>
      </c>
      <c r="B30" s="588" t="s">
        <v>276</v>
      </c>
      <c r="C30" s="163">
        <v>7130810495</v>
      </c>
      <c r="D30" s="164" t="s">
        <v>26</v>
      </c>
      <c r="E30" s="119">
        <f>VLOOKUP(C30,'SOR RATE'!A:D,4,0)</f>
        <v>1048</v>
      </c>
      <c r="F30" s="583">
        <v>65</v>
      </c>
      <c r="G30" s="584">
        <f t="shared" si="0"/>
        <v>68120</v>
      </c>
      <c r="I30" s="31"/>
    </row>
    <row r="31" spans="1:9" ht="14.25">
      <c r="A31" s="587">
        <v>21</v>
      </c>
      <c r="B31" s="588" t="s">
        <v>277</v>
      </c>
      <c r="C31" s="163">
        <v>7130810679</v>
      </c>
      <c r="D31" s="164" t="s">
        <v>26</v>
      </c>
      <c r="E31" s="119">
        <f>VLOOKUP(C31,'SOR RATE'!A:D,4,0)</f>
        <v>294</v>
      </c>
      <c r="F31" s="583">
        <v>65</v>
      </c>
      <c r="G31" s="584">
        <f t="shared" si="0"/>
        <v>19110</v>
      </c>
      <c r="I31" s="31"/>
    </row>
    <row r="32" spans="1:10" ht="16.5" customHeight="1">
      <c r="A32" s="587">
        <v>22</v>
      </c>
      <c r="B32" s="588" t="s">
        <v>1039</v>
      </c>
      <c r="C32" s="163">
        <v>7130820008</v>
      </c>
      <c r="D32" s="164" t="s">
        <v>26</v>
      </c>
      <c r="E32" s="119">
        <f>VLOOKUP(C32,'SOR RATE'!A:D,4,0)</f>
        <v>157</v>
      </c>
      <c r="F32" s="583">
        <v>195</v>
      </c>
      <c r="G32" s="584">
        <f t="shared" si="0"/>
        <v>30615</v>
      </c>
      <c r="I32" s="853" t="s">
        <v>1038</v>
      </c>
      <c r="J32" s="853"/>
    </row>
    <row r="33" spans="1:7" ht="17.25" customHeight="1">
      <c r="A33" s="587">
        <v>23</v>
      </c>
      <c r="B33" s="162" t="s">
        <v>235</v>
      </c>
      <c r="C33" s="586">
        <v>7130870013</v>
      </c>
      <c r="D33" s="182" t="s">
        <v>26</v>
      </c>
      <c r="E33" s="119">
        <f>VLOOKUP(C33,'SOR RATE'!A:D,4,0)</f>
        <v>100</v>
      </c>
      <c r="F33" s="583">
        <v>65</v>
      </c>
      <c r="G33" s="584">
        <f t="shared" si="0"/>
        <v>6500</v>
      </c>
    </row>
    <row r="34" spans="1:7" ht="15">
      <c r="A34" s="855">
        <v>24</v>
      </c>
      <c r="B34" s="585" t="s">
        <v>33</v>
      </c>
      <c r="C34" s="586"/>
      <c r="D34" s="182" t="s">
        <v>32</v>
      </c>
      <c r="E34" s="119"/>
      <c r="F34" s="590">
        <v>320</v>
      </c>
      <c r="G34" s="584"/>
    </row>
    <row r="35" spans="1:7" ht="14.25">
      <c r="A35" s="860"/>
      <c r="B35" s="585" t="s">
        <v>1017</v>
      </c>
      <c r="C35" s="586">
        <v>7130620609</v>
      </c>
      <c r="D35" s="182" t="s">
        <v>32</v>
      </c>
      <c r="E35" s="119">
        <f>VLOOKUP(C35,'SOR RATE'!A:D,4,0)</f>
        <v>64</v>
      </c>
      <c r="F35" s="583">
        <v>50</v>
      </c>
      <c r="G35" s="584">
        <f aca="true" t="shared" si="1" ref="G35:G44">F35*E35</f>
        <v>3200</v>
      </c>
    </row>
    <row r="36" spans="1:7" ht="14.25">
      <c r="A36" s="860"/>
      <c r="B36" s="585" t="s">
        <v>192</v>
      </c>
      <c r="C36" s="118">
        <v>7130620614</v>
      </c>
      <c r="D36" s="182" t="s">
        <v>32</v>
      </c>
      <c r="E36" s="119">
        <f>VLOOKUP(C36,'SOR RATE'!A:D,4,0)</f>
        <v>63</v>
      </c>
      <c r="F36" s="583">
        <v>100</v>
      </c>
      <c r="G36" s="584">
        <f t="shared" si="1"/>
        <v>6300</v>
      </c>
    </row>
    <row r="37" spans="1:7" ht="14.25">
      <c r="A37" s="860"/>
      <c r="B37" s="585" t="s">
        <v>193</v>
      </c>
      <c r="C37" s="163">
        <v>7130620619</v>
      </c>
      <c r="D37" s="182" t="s">
        <v>32</v>
      </c>
      <c r="E37" s="119">
        <f>VLOOKUP(C37,'SOR RATE'!A:D,4,0)</f>
        <v>63</v>
      </c>
      <c r="F37" s="583">
        <v>20</v>
      </c>
      <c r="G37" s="584">
        <f t="shared" si="1"/>
        <v>1260</v>
      </c>
    </row>
    <row r="38" spans="1:7" ht="14.25">
      <c r="A38" s="860"/>
      <c r="B38" s="585" t="s">
        <v>194</v>
      </c>
      <c r="C38" s="163">
        <v>7130620625</v>
      </c>
      <c r="D38" s="182" t="s">
        <v>32</v>
      </c>
      <c r="E38" s="119">
        <f>VLOOKUP(C38,'SOR RATE'!A:D,4,0)</f>
        <v>62</v>
      </c>
      <c r="F38" s="583">
        <v>50</v>
      </c>
      <c r="G38" s="584">
        <f t="shared" si="1"/>
        <v>3100</v>
      </c>
    </row>
    <row r="39" spans="1:7" ht="14.25">
      <c r="A39" s="860"/>
      <c r="B39" s="585" t="s">
        <v>195</v>
      </c>
      <c r="C39" s="163">
        <v>7130620627</v>
      </c>
      <c r="D39" s="182" t="s">
        <v>32</v>
      </c>
      <c r="E39" s="119">
        <f>VLOOKUP(C39,'SOR RATE'!A:D,4,0)</f>
        <v>62</v>
      </c>
      <c r="F39" s="182">
        <v>50</v>
      </c>
      <c r="G39" s="119">
        <f t="shared" si="1"/>
        <v>3100</v>
      </c>
    </row>
    <row r="40" spans="1:7" ht="14.25">
      <c r="A40" s="856"/>
      <c r="B40" s="585" t="s">
        <v>278</v>
      </c>
      <c r="C40" s="163">
        <v>7130620631</v>
      </c>
      <c r="D40" s="182" t="s">
        <v>32</v>
      </c>
      <c r="E40" s="119">
        <f>VLOOKUP(C40,'SOR RATE'!A:D,4,0)</f>
        <v>62</v>
      </c>
      <c r="F40" s="182">
        <v>50</v>
      </c>
      <c r="G40" s="119">
        <f t="shared" si="1"/>
        <v>3100</v>
      </c>
    </row>
    <row r="41" spans="1:7" ht="15" customHeight="1">
      <c r="A41" s="855">
        <v>25</v>
      </c>
      <c r="B41" s="184" t="s">
        <v>97</v>
      </c>
      <c r="C41" s="586"/>
      <c r="D41" s="182" t="s">
        <v>28</v>
      </c>
      <c r="E41" s="119"/>
      <c r="F41" s="583"/>
      <c r="G41" s="119"/>
    </row>
    <row r="42" spans="1:7" ht="15" customHeight="1">
      <c r="A42" s="856"/>
      <c r="B42" s="162" t="s">
        <v>311</v>
      </c>
      <c r="C42" s="118">
        <v>7130200401</v>
      </c>
      <c r="D42" s="182" t="s">
        <v>32</v>
      </c>
      <c r="E42" s="119">
        <f>VLOOKUP(C42,'SOR RATE'!A:D,4,0)/50</f>
        <v>5.36</v>
      </c>
      <c r="F42" s="583">
        <f>208*8</f>
        <v>1664</v>
      </c>
      <c r="G42" s="584">
        <f t="shared" si="1"/>
        <v>8919.04</v>
      </c>
    </row>
    <row r="43" spans="1:9" ht="14.25">
      <c r="A43" s="191">
        <v>26</v>
      </c>
      <c r="B43" s="585" t="s">
        <v>98</v>
      </c>
      <c r="C43" s="164">
        <v>7130860017</v>
      </c>
      <c r="D43" s="164" t="s">
        <v>26</v>
      </c>
      <c r="E43" s="119">
        <f>VLOOKUP(C43,'SOR RATE'!A:D,4,0)</f>
        <v>100</v>
      </c>
      <c r="F43" s="583">
        <v>77</v>
      </c>
      <c r="G43" s="584">
        <f t="shared" si="1"/>
        <v>7700</v>
      </c>
      <c r="I43" s="171"/>
    </row>
    <row r="44" spans="1:7" ht="18.75" customHeight="1">
      <c r="A44" s="190">
        <v>27</v>
      </c>
      <c r="B44" s="585" t="s">
        <v>99</v>
      </c>
      <c r="C44" s="163">
        <v>7130830055</v>
      </c>
      <c r="D44" s="192" t="s">
        <v>307</v>
      </c>
      <c r="E44" s="119">
        <f>VLOOKUP(C44,'SOR RATE'!A:D,4,0)/1000</f>
        <v>20.281</v>
      </c>
      <c r="F44" s="583">
        <v>1200</v>
      </c>
      <c r="G44" s="584">
        <f t="shared" si="1"/>
        <v>24337.199999999997</v>
      </c>
    </row>
    <row r="45" spans="1:9" ht="15">
      <c r="A45" s="189">
        <v>28</v>
      </c>
      <c r="B45" s="97" t="s">
        <v>937</v>
      </c>
      <c r="C45" s="118"/>
      <c r="D45" s="591"/>
      <c r="E45" s="182"/>
      <c r="F45" s="188"/>
      <c r="G45" s="188">
        <f>SUM(G9:G44)</f>
        <v>2285693.5200000005</v>
      </c>
      <c r="H45" s="442"/>
      <c r="I45" s="549"/>
    </row>
    <row r="46" spans="1:9" ht="17.25" customHeight="1">
      <c r="A46" s="187">
        <v>29</v>
      </c>
      <c r="B46" s="90" t="s">
        <v>936</v>
      </c>
      <c r="C46" s="162"/>
      <c r="D46" s="316"/>
      <c r="E46" s="182">
        <v>0.09</v>
      </c>
      <c r="F46" s="182"/>
      <c r="G46" s="119">
        <f>G45*E46</f>
        <v>205712.41680000004</v>
      </c>
      <c r="H46" s="442"/>
      <c r="I46" s="549"/>
    </row>
    <row r="47" spans="1:9" ht="17.25" customHeight="1">
      <c r="A47" s="187">
        <v>30</v>
      </c>
      <c r="B47" s="85" t="s">
        <v>1336</v>
      </c>
      <c r="C47" s="91"/>
      <c r="D47" s="335" t="s">
        <v>26</v>
      </c>
      <c r="E47" s="88">
        <f>97*1.11*1.086275*1.1112*1.0685</f>
        <v>138.86770458726812</v>
      </c>
      <c r="F47" s="182">
        <v>10</v>
      </c>
      <c r="G47" s="119">
        <f>E47*F47</f>
        <v>1388.6770458726812</v>
      </c>
      <c r="H47" s="434"/>
      <c r="I47" s="592"/>
    </row>
    <row r="48" spans="1:7" ht="18" customHeight="1">
      <c r="A48" s="116" t="s">
        <v>1122</v>
      </c>
      <c r="B48" s="117" t="s">
        <v>310</v>
      </c>
      <c r="C48" s="593"/>
      <c r="D48" s="116" t="s">
        <v>28</v>
      </c>
      <c r="E48" s="119">
        <f>1664*1.27*1.0891*1.086275*1.1112*1.0685</f>
        <v>2968.460981603261</v>
      </c>
      <c r="F48" s="182">
        <v>8</v>
      </c>
      <c r="G48" s="119">
        <f>F48*E48</f>
        <v>23747.68785282609</v>
      </c>
    </row>
    <row r="49" spans="1:10" ht="17.25" customHeight="1">
      <c r="A49" s="182">
        <v>32</v>
      </c>
      <c r="B49" s="127" t="s">
        <v>100</v>
      </c>
      <c r="C49" s="593"/>
      <c r="D49" s="119"/>
      <c r="E49" s="182"/>
      <c r="F49" s="182"/>
      <c r="G49" s="119">
        <v>143003.14</v>
      </c>
      <c r="H49" s="553"/>
      <c r="I49" s="64"/>
      <c r="J49" s="21"/>
    </row>
    <row r="50" spans="1:8" ht="17.25" customHeight="1">
      <c r="A50" s="182">
        <v>33</v>
      </c>
      <c r="B50" s="85" t="s">
        <v>949</v>
      </c>
      <c r="C50" s="593"/>
      <c r="D50" s="119"/>
      <c r="E50" s="182"/>
      <c r="F50" s="182"/>
      <c r="G50" s="119">
        <f>8784.22*1.1402*0.9368</f>
        <v>9382.7711288992</v>
      </c>
      <c r="H50" s="392"/>
    </row>
    <row r="51" spans="1:8" ht="15.75" customHeight="1">
      <c r="A51" s="14">
        <v>34</v>
      </c>
      <c r="B51" s="97" t="s">
        <v>938</v>
      </c>
      <c r="C51" s="593"/>
      <c r="D51" s="119"/>
      <c r="E51" s="182"/>
      <c r="F51" s="182"/>
      <c r="G51" s="129">
        <f>G45+G46+G47+G48+G49+G50</f>
        <v>2668928.212827599</v>
      </c>
      <c r="H51" s="455"/>
    </row>
    <row r="52" spans="1:8" ht="33" customHeight="1">
      <c r="A52" s="182">
        <v>35</v>
      </c>
      <c r="B52" s="90" t="s">
        <v>939</v>
      </c>
      <c r="C52" s="593"/>
      <c r="D52" s="119"/>
      <c r="E52" s="182">
        <v>0.11</v>
      </c>
      <c r="F52" s="182"/>
      <c r="G52" s="119">
        <f>G45*E52</f>
        <v>251426.28720000005</v>
      </c>
      <c r="H52" s="455"/>
    </row>
    <row r="53" spans="1:7" ht="17.25" customHeight="1">
      <c r="A53" s="182">
        <v>36</v>
      </c>
      <c r="B53" s="162" t="s">
        <v>1338</v>
      </c>
      <c r="C53" s="593"/>
      <c r="D53" s="119"/>
      <c r="E53" s="182"/>
      <c r="F53" s="119"/>
      <c r="G53" s="119">
        <f>G51+G52</f>
        <v>2920354.5000275993</v>
      </c>
    </row>
    <row r="54" spans="1:7" ht="18.75" customHeight="1">
      <c r="A54" s="189">
        <v>37</v>
      </c>
      <c r="B54" s="247" t="s">
        <v>1339</v>
      </c>
      <c r="C54" s="594"/>
      <c r="D54" s="188"/>
      <c r="E54" s="189"/>
      <c r="F54" s="182"/>
      <c r="G54" s="188">
        <f>ROUND(G53,0)</f>
        <v>2920355</v>
      </c>
    </row>
    <row r="55" spans="1:7" ht="12.75">
      <c r="A55" s="595"/>
      <c r="B55" s="257"/>
      <c r="C55" s="596"/>
      <c r="D55" s="257"/>
      <c r="E55" s="257"/>
      <c r="F55" s="257"/>
      <c r="G55" s="360"/>
    </row>
    <row r="56" spans="1:7" ht="20.25" customHeight="1">
      <c r="A56" s="597"/>
      <c r="B56" s="857" t="s">
        <v>101</v>
      </c>
      <c r="C56" s="858"/>
      <c r="D56" s="858"/>
      <c r="E56" s="858"/>
      <c r="F56" s="858"/>
      <c r="G56" s="859"/>
    </row>
    <row r="58" ht="14.25">
      <c r="B58" s="598"/>
    </row>
    <row r="59" ht="12.75">
      <c r="B59" s="258"/>
    </row>
    <row r="60" ht="12.75">
      <c r="B60" s="258"/>
    </row>
    <row r="61" ht="12.75">
      <c r="B61" s="258"/>
    </row>
    <row r="69" spans="2:3" ht="15.75">
      <c r="B69" s="854" t="s">
        <v>1040</v>
      </c>
      <c r="C69" s="854"/>
    </row>
    <row r="71" spans="2:4" ht="14.25">
      <c r="B71" s="588" t="s">
        <v>49</v>
      </c>
      <c r="C71" s="163">
        <v>7130820155</v>
      </c>
      <c r="D71" s="192" t="s">
        <v>26</v>
      </c>
    </row>
  </sheetData>
  <sheetProtection/>
  <mergeCells count="8">
    <mergeCell ref="I32:J32"/>
    <mergeCell ref="B69:C69"/>
    <mergeCell ref="A41:A42"/>
    <mergeCell ref="B56:G56"/>
    <mergeCell ref="B1:C1"/>
    <mergeCell ref="A3:G3"/>
    <mergeCell ref="A13:A15"/>
    <mergeCell ref="A34:A40"/>
  </mergeCells>
  <printOptions horizontalCentered="1"/>
  <pageMargins left="0.73" right="0.19" top="0.73" bottom="0.46" header="0.38" footer="0.3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M78"/>
  <sheetViews>
    <sheetView zoomScaleSheetLayoutView="7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A3" sqref="A3:G3"/>
    </sheetView>
  </sheetViews>
  <sheetFormatPr defaultColWidth="9.140625" defaultRowHeight="12.75"/>
  <cols>
    <col min="1" max="1" width="4.8515625" style="23" customWidth="1"/>
    <col min="2" max="2" width="71.00390625" style="2" customWidth="1"/>
    <col min="3" max="3" width="13.421875" style="2" customWidth="1"/>
    <col min="4" max="4" width="6.28125" style="2" customWidth="1"/>
    <col min="5" max="5" width="10.00390625" style="2" customWidth="1"/>
    <col min="6" max="6" width="6.140625" style="2" customWidth="1"/>
    <col min="7" max="7" width="13.140625" style="2" bestFit="1" customWidth="1"/>
    <col min="8" max="8" width="18.140625" style="2" customWidth="1"/>
    <col min="9" max="9" width="24.8515625" style="2" customWidth="1"/>
    <col min="10" max="10" width="13.00390625" style="2" customWidth="1"/>
    <col min="11" max="16384" width="9.140625" style="2" customWidth="1"/>
  </cols>
  <sheetData>
    <row r="1" spans="2:7" ht="18" customHeight="1">
      <c r="B1" s="862" t="s">
        <v>102</v>
      </c>
      <c r="C1" s="862"/>
      <c r="D1" s="390"/>
      <c r="E1" s="390"/>
      <c r="F1" s="390"/>
      <c r="G1" s="390"/>
    </row>
    <row r="2" spans="1:7" ht="18">
      <c r="A2" s="393"/>
      <c r="B2" s="393"/>
      <c r="C2" s="393"/>
      <c r="D2" s="393"/>
      <c r="E2" s="393"/>
      <c r="F2" s="393"/>
      <c r="G2" s="393"/>
    </row>
    <row r="3" spans="1:7" ht="15.75">
      <c r="A3" s="863" t="s">
        <v>103</v>
      </c>
      <c r="B3" s="863"/>
      <c r="C3" s="863"/>
      <c r="D3" s="863"/>
      <c r="E3" s="863"/>
      <c r="F3" s="863"/>
      <c r="G3" s="863"/>
    </row>
    <row r="4" spans="1:7" ht="15.75">
      <c r="A4" s="864"/>
      <c r="B4" s="864"/>
      <c r="C4" s="864"/>
      <c r="D4" s="864"/>
      <c r="E4" s="864"/>
      <c r="F4" s="864"/>
      <c r="G4" s="864"/>
    </row>
    <row r="5" spans="1:7" ht="15.75">
      <c r="A5" s="581"/>
      <c r="B5" s="581"/>
      <c r="C5" s="581"/>
      <c r="D5" s="581"/>
      <c r="E5" s="581"/>
      <c r="F5" s="581"/>
      <c r="G5" s="730" t="s">
        <v>1003</v>
      </c>
    </row>
    <row r="6" spans="1:7" ht="15.75">
      <c r="A6" s="581"/>
      <c r="B6" s="581"/>
      <c r="C6" s="581"/>
      <c r="D6" s="581"/>
      <c r="E6" s="581"/>
      <c r="F6" s="581"/>
      <c r="G6" s="599"/>
    </row>
    <row r="7" spans="1:7" ht="33" customHeight="1">
      <c r="A7" s="39" t="s">
        <v>191</v>
      </c>
      <c r="B7" s="39" t="s">
        <v>23</v>
      </c>
      <c r="C7" s="606" t="s">
        <v>79</v>
      </c>
      <c r="D7" s="39" t="s">
        <v>24</v>
      </c>
      <c r="E7" s="39" t="s">
        <v>1010</v>
      </c>
      <c r="F7" s="14" t="s">
        <v>25</v>
      </c>
      <c r="G7" s="14" t="s">
        <v>1047</v>
      </c>
    </row>
    <row r="8" spans="1:8" ht="15.75">
      <c r="A8" s="294" t="s">
        <v>892</v>
      </c>
      <c r="B8" s="294" t="s">
        <v>893</v>
      </c>
      <c r="C8" s="294" t="s">
        <v>894</v>
      </c>
      <c r="D8" s="294" t="s">
        <v>650</v>
      </c>
      <c r="E8" s="294" t="s">
        <v>651</v>
      </c>
      <c r="F8" s="294" t="s">
        <v>895</v>
      </c>
      <c r="G8" s="294" t="s">
        <v>673</v>
      </c>
      <c r="H8" s="312"/>
    </row>
    <row r="9" spans="1:7" ht="17.25" customHeight="1">
      <c r="A9" s="182">
        <v>1</v>
      </c>
      <c r="B9" s="184" t="s">
        <v>615</v>
      </c>
      <c r="C9" s="118">
        <v>7132210008</v>
      </c>
      <c r="D9" s="182" t="s">
        <v>1013</v>
      </c>
      <c r="E9" s="119">
        <f>VLOOKUP(C9,'SOR RATE'!A:D,4,0)</f>
        <v>54268</v>
      </c>
      <c r="F9" s="583">
        <v>2</v>
      </c>
      <c r="G9" s="584">
        <f>E9*F9</f>
        <v>108536</v>
      </c>
    </row>
    <row r="10" spans="1:8" ht="19.5" customHeight="1">
      <c r="A10" s="182">
        <v>2</v>
      </c>
      <c r="B10" s="162" t="s">
        <v>616</v>
      </c>
      <c r="C10" s="118">
        <v>7132210007</v>
      </c>
      <c r="D10" s="187" t="s">
        <v>308</v>
      </c>
      <c r="E10" s="119">
        <f>VLOOKUP(C10,'SOR RATE'!A:D,4,0)</f>
        <v>44836</v>
      </c>
      <c r="F10" s="182">
        <v>3</v>
      </c>
      <c r="G10" s="584">
        <f aca="true" t="shared" si="0" ref="G10:G44">E10*F10</f>
        <v>134508</v>
      </c>
      <c r="H10" s="31"/>
    </row>
    <row r="11" spans="1:7" ht="17.25" customHeight="1">
      <c r="A11" s="182">
        <v>3</v>
      </c>
      <c r="B11" s="162" t="s">
        <v>617</v>
      </c>
      <c r="C11" s="118">
        <v>7132210078</v>
      </c>
      <c r="D11" s="182" t="s">
        <v>1013</v>
      </c>
      <c r="E11" s="119">
        <f>VLOOKUP(C11,'SOR RATE'!A:D,4,0)</f>
        <v>36194</v>
      </c>
      <c r="F11" s="182">
        <v>3</v>
      </c>
      <c r="G11" s="584">
        <f>F11*E11</f>
        <v>108582</v>
      </c>
    </row>
    <row r="12" spans="1:7" ht="14.25">
      <c r="A12" s="182">
        <v>4</v>
      </c>
      <c r="B12" s="585" t="s">
        <v>104</v>
      </c>
      <c r="C12" s="152">
        <v>7130800012</v>
      </c>
      <c r="D12" s="182" t="s">
        <v>1013</v>
      </c>
      <c r="E12" s="119">
        <f>VLOOKUP(C12,'SOR RATE'!A:D,4,0)</f>
        <v>1654</v>
      </c>
      <c r="F12" s="583">
        <v>8</v>
      </c>
      <c r="G12" s="584">
        <f t="shared" si="0"/>
        <v>13232</v>
      </c>
    </row>
    <row r="13" spans="1:7" ht="14.25">
      <c r="A13" s="865">
        <v>5</v>
      </c>
      <c r="B13" s="85" t="s">
        <v>1050</v>
      </c>
      <c r="C13" s="586">
        <v>7130860032</v>
      </c>
      <c r="D13" s="182" t="s">
        <v>26</v>
      </c>
      <c r="E13" s="119">
        <f>VLOOKUP(C13,'SOR RATE'!A:D,4,0)</f>
        <v>387</v>
      </c>
      <c r="F13" s="583">
        <v>30</v>
      </c>
      <c r="G13" s="584">
        <f t="shared" si="0"/>
        <v>11610</v>
      </c>
    </row>
    <row r="14" spans="1:7" ht="14.25">
      <c r="A14" s="865"/>
      <c r="B14" s="162" t="s">
        <v>105</v>
      </c>
      <c r="C14" s="586">
        <v>7130860077</v>
      </c>
      <c r="D14" s="182" t="s">
        <v>32</v>
      </c>
      <c r="E14" s="119">
        <f>VLOOKUP(C14,'SOR RATE'!A:D,4,0)/1000</f>
        <v>61.6</v>
      </c>
      <c r="F14" s="583">
        <v>165</v>
      </c>
      <c r="G14" s="584">
        <f t="shared" si="0"/>
        <v>10164</v>
      </c>
    </row>
    <row r="15" spans="1:7" ht="14.25">
      <c r="A15" s="865"/>
      <c r="B15" s="162" t="s">
        <v>264</v>
      </c>
      <c r="C15" s="593">
        <v>7130810026</v>
      </c>
      <c r="D15" s="182" t="s">
        <v>26</v>
      </c>
      <c r="E15" s="119">
        <f>VLOOKUP(C15,'SOR RATE'!A:D,4,0)</f>
        <v>142</v>
      </c>
      <c r="F15" s="583">
        <v>30</v>
      </c>
      <c r="G15" s="584">
        <f t="shared" si="0"/>
        <v>4260</v>
      </c>
    </row>
    <row r="16" spans="1:9" ht="30" customHeight="1">
      <c r="A16" s="182">
        <v>6</v>
      </c>
      <c r="B16" s="588" t="s">
        <v>106</v>
      </c>
      <c r="C16" s="712">
        <v>7130850201</v>
      </c>
      <c r="D16" s="187" t="s">
        <v>1012</v>
      </c>
      <c r="E16" s="119">
        <f>VLOOKUP(C16,'SOR RATE'!A:D,4,0)</f>
        <v>4547</v>
      </c>
      <c r="F16" s="583">
        <v>7</v>
      </c>
      <c r="G16" s="584">
        <f t="shared" si="0"/>
        <v>31829</v>
      </c>
      <c r="I16" s="31"/>
    </row>
    <row r="17" spans="1:7" ht="19.5" customHeight="1">
      <c r="A17" s="182">
        <v>7</v>
      </c>
      <c r="B17" s="588" t="s">
        <v>107</v>
      </c>
      <c r="C17" s="712">
        <v>7130850201</v>
      </c>
      <c r="D17" s="187" t="s">
        <v>1012</v>
      </c>
      <c r="E17" s="119">
        <f>VLOOKUP(C17,'SOR RATE'!A:D,4,0)</f>
        <v>4547</v>
      </c>
      <c r="F17" s="583">
        <v>7</v>
      </c>
      <c r="G17" s="584">
        <f t="shared" si="0"/>
        <v>31829</v>
      </c>
    </row>
    <row r="18" spans="1:7" ht="14.25">
      <c r="A18" s="182">
        <v>8</v>
      </c>
      <c r="B18" s="588" t="s">
        <v>108</v>
      </c>
      <c r="C18" s="315">
        <v>7130810509</v>
      </c>
      <c r="D18" s="164" t="s">
        <v>1012</v>
      </c>
      <c r="E18" s="119">
        <f>VLOOKUP(C18,'SOR RATE'!A205:D205,4,0)</f>
        <v>3322</v>
      </c>
      <c r="F18" s="583">
        <v>11</v>
      </c>
      <c r="G18" s="584">
        <f t="shared" si="0"/>
        <v>36542</v>
      </c>
    </row>
    <row r="19" spans="1:7" ht="14.25">
      <c r="A19" s="182">
        <v>9</v>
      </c>
      <c r="B19" s="588" t="s">
        <v>109</v>
      </c>
      <c r="C19" s="118">
        <v>7130810681</v>
      </c>
      <c r="D19" s="164" t="s">
        <v>26</v>
      </c>
      <c r="E19" s="119">
        <f>VLOOKUP(C19,'SOR RATE'!A:D,4,0)</f>
        <v>3227</v>
      </c>
      <c r="F19" s="583">
        <v>10</v>
      </c>
      <c r="G19" s="584">
        <f t="shared" si="0"/>
        <v>32270</v>
      </c>
    </row>
    <row r="20" spans="1:7" ht="14.25">
      <c r="A20" s="182">
        <v>10</v>
      </c>
      <c r="B20" s="588" t="s">
        <v>269</v>
      </c>
      <c r="C20" s="287">
        <v>7130820241</v>
      </c>
      <c r="D20" s="164" t="s">
        <v>1013</v>
      </c>
      <c r="E20" s="119">
        <f>VLOOKUP(C20,'SOR RATE'!A:D,4,0)</f>
        <v>123</v>
      </c>
      <c r="F20" s="583">
        <v>48</v>
      </c>
      <c r="G20" s="584">
        <f t="shared" si="0"/>
        <v>5904</v>
      </c>
    </row>
    <row r="21" spans="1:9" ht="14.25">
      <c r="A21" s="182">
        <v>11</v>
      </c>
      <c r="B21" s="588" t="s">
        <v>1035</v>
      </c>
      <c r="C21" s="287">
        <v>7130820010</v>
      </c>
      <c r="D21" s="164" t="s">
        <v>26</v>
      </c>
      <c r="E21" s="119">
        <f>VLOOKUP(C21,'SOR RATE'!A:D,4,0)</f>
        <v>140</v>
      </c>
      <c r="F21" s="583">
        <v>48</v>
      </c>
      <c r="G21" s="584">
        <f t="shared" si="0"/>
        <v>6720</v>
      </c>
      <c r="I21" s="2" t="s">
        <v>1034</v>
      </c>
    </row>
    <row r="22" spans="1:9" ht="14.25">
      <c r="A22" s="182">
        <v>12</v>
      </c>
      <c r="B22" s="588" t="s">
        <v>1037</v>
      </c>
      <c r="C22" s="287">
        <v>7130840029</v>
      </c>
      <c r="D22" s="164" t="s">
        <v>26</v>
      </c>
      <c r="E22" s="119">
        <f>VLOOKUP(C22,'SOR RATE'!A:D,4,0)</f>
        <v>425</v>
      </c>
      <c r="F22" s="583">
        <v>21</v>
      </c>
      <c r="G22" s="584">
        <f t="shared" si="0"/>
        <v>8925</v>
      </c>
      <c r="I22" s="733" t="s">
        <v>1036</v>
      </c>
    </row>
    <row r="23" spans="1:7" ht="14.25">
      <c r="A23" s="182">
        <v>13</v>
      </c>
      <c r="B23" s="588" t="s">
        <v>110</v>
      </c>
      <c r="C23" s="287">
        <v>7131930412</v>
      </c>
      <c r="D23" s="164" t="s">
        <v>26</v>
      </c>
      <c r="E23" s="119">
        <f>VLOOKUP(C23,'SOR RATE'!A:D,4,0)</f>
        <v>1199</v>
      </c>
      <c r="F23" s="583">
        <v>21</v>
      </c>
      <c r="G23" s="584">
        <f t="shared" si="0"/>
        <v>25179</v>
      </c>
    </row>
    <row r="24" spans="1:7" s="19" customFormat="1" ht="30" customHeight="1">
      <c r="A24" s="182">
        <v>14</v>
      </c>
      <c r="B24" s="588" t="s">
        <v>111</v>
      </c>
      <c r="C24" s="589"/>
      <c r="D24" s="119" t="s">
        <v>26</v>
      </c>
      <c r="E24" s="119">
        <f>+'[1]D7 page 144-145'!E24</f>
        <v>16000</v>
      </c>
      <c r="F24" s="583">
        <v>3</v>
      </c>
      <c r="G24" s="584">
        <f t="shared" si="0"/>
        <v>48000</v>
      </c>
    </row>
    <row r="25" spans="1:7" s="19" customFormat="1" ht="30" customHeight="1">
      <c r="A25" s="182">
        <v>15</v>
      </c>
      <c r="B25" s="588" t="s">
        <v>112</v>
      </c>
      <c r="C25" s="589"/>
      <c r="D25" s="119" t="s">
        <v>26</v>
      </c>
      <c r="E25" s="119">
        <f>+'[1]D7 page 144-145'!E25</f>
        <v>13000</v>
      </c>
      <c r="F25" s="583">
        <v>4</v>
      </c>
      <c r="G25" s="584">
        <f t="shared" si="0"/>
        <v>52000</v>
      </c>
    </row>
    <row r="26" spans="1:13" s="19" customFormat="1" ht="15.75" customHeight="1">
      <c r="A26" s="182">
        <v>16</v>
      </c>
      <c r="B26" s="588" t="s">
        <v>273</v>
      </c>
      <c r="C26" s="586">
        <v>7130310021</v>
      </c>
      <c r="D26" s="164" t="s">
        <v>307</v>
      </c>
      <c r="E26" s="119">
        <f>VLOOKUP(C26,'SOR RATE'!A:D,4,0)/1000</f>
        <v>39.632</v>
      </c>
      <c r="F26" s="583">
        <v>140</v>
      </c>
      <c r="G26" s="584">
        <f t="shared" si="0"/>
        <v>5548.48</v>
      </c>
      <c r="I26" s="600"/>
      <c r="J26" s="261"/>
      <c r="K26" s="261"/>
      <c r="L26" s="261"/>
      <c r="M26" s="261"/>
    </row>
    <row r="27" spans="1:13" s="19" customFormat="1" ht="15.75" customHeight="1">
      <c r="A27" s="182">
        <v>17</v>
      </c>
      <c r="B27" s="588" t="s">
        <v>274</v>
      </c>
      <c r="C27" s="287">
        <v>7130310044</v>
      </c>
      <c r="D27" s="164" t="s">
        <v>307</v>
      </c>
      <c r="E27" s="119">
        <f>VLOOKUP(C27,'SOR RATE'!A:D,4,0)/1000</f>
        <v>94.953</v>
      </c>
      <c r="F27" s="583">
        <v>1820</v>
      </c>
      <c r="G27" s="584">
        <f t="shared" si="0"/>
        <v>172814.46</v>
      </c>
      <c r="I27" s="200"/>
      <c r="J27" s="200"/>
      <c r="K27" s="200"/>
      <c r="L27" s="200"/>
      <c r="M27" s="200"/>
    </row>
    <row r="28" spans="1:7" s="19" customFormat="1" ht="14.25">
      <c r="A28" s="182">
        <v>18</v>
      </c>
      <c r="B28" s="588" t="s">
        <v>113</v>
      </c>
      <c r="C28" s="287">
        <v>7130641396</v>
      </c>
      <c r="D28" s="164" t="s">
        <v>307</v>
      </c>
      <c r="E28" s="119">
        <f>VLOOKUP(C28,'SOR RATE'!A:D,4,0)</f>
        <v>190</v>
      </c>
      <c r="F28" s="583">
        <v>63</v>
      </c>
      <c r="G28" s="584">
        <f t="shared" si="0"/>
        <v>11970</v>
      </c>
    </row>
    <row r="29" spans="1:7" ht="14.25">
      <c r="A29" s="182">
        <v>19</v>
      </c>
      <c r="B29" s="162" t="s">
        <v>172</v>
      </c>
      <c r="C29" s="287">
        <v>7130870043</v>
      </c>
      <c r="D29" s="164" t="s">
        <v>32</v>
      </c>
      <c r="E29" s="119">
        <f>VLOOKUP(C29,'SOR RATE'!A:D,4,0)/1000</f>
        <v>55.094</v>
      </c>
      <c r="F29" s="583">
        <v>180</v>
      </c>
      <c r="G29" s="584">
        <f t="shared" si="0"/>
        <v>9916.92</v>
      </c>
    </row>
    <row r="30" spans="1:7" ht="14.25">
      <c r="A30" s="182">
        <v>20</v>
      </c>
      <c r="B30" s="162" t="s">
        <v>818</v>
      </c>
      <c r="C30" s="163">
        <v>7130810495</v>
      </c>
      <c r="D30" s="164" t="s">
        <v>26</v>
      </c>
      <c r="E30" s="119">
        <f>VLOOKUP(C30,'SOR RATE'!A:D,4,0)</f>
        <v>1048</v>
      </c>
      <c r="F30" s="583">
        <v>45</v>
      </c>
      <c r="G30" s="584">
        <f t="shared" si="0"/>
        <v>47160</v>
      </c>
    </row>
    <row r="31" spans="1:7" ht="14.25">
      <c r="A31" s="182">
        <v>21</v>
      </c>
      <c r="B31" s="162" t="s">
        <v>819</v>
      </c>
      <c r="C31" s="163">
        <v>7130810679</v>
      </c>
      <c r="D31" s="164" t="s">
        <v>26</v>
      </c>
      <c r="E31" s="119">
        <f>VLOOKUP(C31,'SOR RATE'!A:D,4,0)</f>
        <v>294</v>
      </c>
      <c r="F31" s="583">
        <v>45</v>
      </c>
      <c r="G31" s="584">
        <f t="shared" si="0"/>
        <v>13230</v>
      </c>
    </row>
    <row r="32" spans="1:10" ht="14.25" customHeight="1">
      <c r="A32" s="182">
        <v>22</v>
      </c>
      <c r="B32" s="162" t="s">
        <v>1039</v>
      </c>
      <c r="C32" s="163">
        <v>7130820008</v>
      </c>
      <c r="D32" s="164" t="s">
        <v>26</v>
      </c>
      <c r="E32" s="119">
        <f>VLOOKUP(C32,'SOR RATE'!A:D,4,0)</f>
        <v>157</v>
      </c>
      <c r="F32" s="583">
        <v>135</v>
      </c>
      <c r="G32" s="584">
        <f t="shared" si="0"/>
        <v>21195</v>
      </c>
      <c r="I32" s="853" t="s">
        <v>1038</v>
      </c>
      <c r="J32" s="853"/>
    </row>
    <row r="33" spans="1:7" ht="18" customHeight="1">
      <c r="A33" s="182">
        <v>23</v>
      </c>
      <c r="B33" s="85" t="s">
        <v>235</v>
      </c>
      <c r="C33" s="118">
        <v>7130870013</v>
      </c>
      <c r="D33" s="182" t="s">
        <v>26</v>
      </c>
      <c r="E33" s="119">
        <f>VLOOKUP(C33,'SOR RATE'!A:D,4,0)</f>
        <v>100</v>
      </c>
      <c r="F33" s="583">
        <v>45</v>
      </c>
      <c r="G33" s="584">
        <f t="shared" si="0"/>
        <v>4500</v>
      </c>
    </row>
    <row r="34" spans="1:7" ht="14.25">
      <c r="A34" s="865">
        <v>24</v>
      </c>
      <c r="B34" s="143" t="s">
        <v>33</v>
      </c>
      <c r="C34" s="253"/>
      <c r="D34" s="191" t="s">
        <v>32</v>
      </c>
      <c r="E34" s="601"/>
      <c r="F34" s="602">
        <v>250</v>
      </c>
      <c r="G34" s="584"/>
    </row>
    <row r="35" spans="1:7" ht="14.25">
      <c r="A35" s="865"/>
      <c r="B35" s="246" t="s">
        <v>1017</v>
      </c>
      <c r="C35" s="586">
        <v>7130620609</v>
      </c>
      <c r="D35" s="182" t="s">
        <v>32</v>
      </c>
      <c r="E35" s="119">
        <f>VLOOKUP(C35,'SOR RATE'!A:D,4,0)</f>
        <v>64</v>
      </c>
      <c r="F35" s="583">
        <v>40</v>
      </c>
      <c r="G35" s="584">
        <f t="shared" si="0"/>
        <v>2560</v>
      </c>
    </row>
    <row r="36" spans="1:7" ht="14.25">
      <c r="A36" s="865"/>
      <c r="B36" s="246" t="s">
        <v>192</v>
      </c>
      <c r="C36" s="118">
        <v>7130620614</v>
      </c>
      <c r="D36" s="182" t="s">
        <v>32</v>
      </c>
      <c r="E36" s="119">
        <f>VLOOKUP(C36,'SOR RATE'!A:D,4,0)</f>
        <v>63</v>
      </c>
      <c r="F36" s="583">
        <v>80</v>
      </c>
      <c r="G36" s="584">
        <f t="shared" si="0"/>
        <v>5040</v>
      </c>
    </row>
    <row r="37" spans="1:7" ht="14.25">
      <c r="A37" s="865"/>
      <c r="B37" s="246" t="s">
        <v>193</v>
      </c>
      <c r="C37" s="163">
        <v>7130620619</v>
      </c>
      <c r="D37" s="182" t="s">
        <v>32</v>
      </c>
      <c r="E37" s="119">
        <f>VLOOKUP(C37,'SOR RATE'!A:D,4,0)</f>
        <v>63</v>
      </c>
      <c r="F37" s="583">
        <v>10</v>
      </c>
      <c r="G37" s="584">
        <f t="shared" si="0"/>
        <v>630</v>
      </c>
    </row>
    <row r="38" spans="1:7" ht="14.25">
      <c r="A38" s="865"/>
      <c r="B38" s="246" t="s">
        <v>194</v>
      </c>
      <c r="C38" s="152">
        <v>7130620625</v>
      </c>
      <c r="D38" s="182" t="s">
        <v>32</v>
      </c>
      <c r="E38" s="119">
        <f>VLOOKUP(C38,'SOR RATE'!A:D,4,0)</f>
        <v>62</v>
      </c>
      <c r="F38" s="583">
        <v>40</v>
      </c>
      <c r="G38" s="584">
        <f t="shared" si="0"/>
        <v>2480</v>
      </c>
    </row>
    <row r="39" spans="1:7" ht="14.25">
      <c r="A39" s="865"/>
      <c r="B39" s="246" t="s">
        <v>195</v>
      </c>
      <c r="C39" s="163">
        <v>7130620627</v>
      </c>
      <c r="D39" s="182" t="s">
        <v>32</v>
      </c>
      <c r="E39" s="119">
        <f>VLOOKUP(C39,'SOR RATE'!A:D,4,0)</f>
        <v>62</v>
      </c>
      <c r="F39" s="583">
        <v>40</v>
      </c>
      <c r="G39" s="584">
        <f t="shared" si="0"/>
        <v>2480</v>
      </c>
    </row>
    <row r="40" spans="1:7" ht="14.25">
      <c r="A40" s="865"/>
      <c r="B40" s="246" t="s">
        <v>278</v>
      </c>
      <c r="C40" s="163">
        <v>7130620631</v>
      </c>
      <c r="D40" s="182" t="s">
        <v>32</v>
      </c>
      <c r="E40" s="119">
        <f>VLOOKUP(C40,'SOR RATE'!A:D,4,0)</f>
        <v>62</v>
      </c>
      <c r="F40" s="583">
        <v>40</v>
      </c>
      <c r="G40" s="584">
        <f t="shared" si="0"/>
        <v>2480</v>
      </c>
    </row>
    <row r="41" spans="1:7" ht="14.25">
      <c r="A41" s="865">
        <v>25</v>
      </c>
      <c r="B41" s="122" t="s">
        <v>97</v>
      </c>
      <c r="C41" s="118"/>
      <c r="D41" s="182" t="s">
        <v>28</v>
      </c>
      <c r="E41" s="119"/>
      <c r="F41" s="583"/>
      <c r="G41" s="584"/>
    </row>
    <row r="42" spans="1:7" ht="14.25">
      <c r="A42" s="865"/>
      <c r="B42" s="162" t="s">
        <v>114</v>
      </c>
      <c r="C42" s="118">
        <v>7130200401</v>
      </c>
      <c r="D42" s="182" t="s">
        <v>32</v>
      </c>
      <c r="E42" s="119">
        <f>VLOOKUP(C42,'SOR RATE'!A:D,4,0)/50</f>
        <v>5.36</v>
      </c>
      <c r="F42" s="583">
        <f>208*6</f>
        <v>1248</v>
      </c>
      <c r="G42" s="584">
        <f t="shared" si="0"/>
        <v>6689.280000000001</v>
      </c>
    </row>
    <row r="43" spans="1:7" ht="14.25">
      <c r="A43" s="182">
        <v>26</v>
      </c>
      <c r="B43" s="162" t="s">
        <v>115</v>
      </c>
      <c r="C43" s="164">
        <v>7130860017</v>
      </c>
      <c r="D43" s="182" t="s">
        <v>26</v>
      </c>
      <c r="E43" s="119">
        <f>VLOOKUP(C43,'SOR RATE'!A:D,4,0)</f>
        <v>100</v>
      </c>
      <c r="F43" s="583">
        <v>21</v>
      </c>
      <c r="G43" s="584">
        <f t="shared" si="0"/>
        <v>2100</v>
      </c>
    </row>
    <row r="44" spans="1:7" ht="14.25">
      <c r="A44" s="86">
        <v>27</v>
      </c>
      <c r="B44" s="162" t="s">
        <v>99</v>
      </c>
      <c r="C44" s="163">
        <v>7130830055</v>
      </c>
      <c r="D44" s="164" t="s">
        <v>307</v>
      </c>
      <c r="E44" s="119">
        <f>VLOOKUP(C44,'SOR RATE'!A:D,4,0)/1000</f>
        <v>20.281</v>
      </c>
      <c r="F44" s="583">
        <v>900</v>
      </c>
      <c r="G44" s="584">
        <f t="shared" si="0"/>
        <v>18252.899999999998</v>
      </c>
    </row>
    <row r="45" spans="1:9" ht="15">
      <c r="A45" s="14">
        <v>28</v>
      </c>
      <c r="B45" s="97" t="s">
        <v>937</v>
      </c>
      <c r="C45" s="603"/>
      <c r="D45" s="182"/>
      <c r="E45" s="182"/>
      <c r="F45" s="129"/>
      <c r="G45" s="129">
        <f>SUM(G9:G44)</f>
        <v>999137.04</v>
      </c>
      <c r="H45" s="442"/>
      <c r="I45" s="549"/>
    </row>
    <row r="46" spans="1:9" ht="14.25">
      <c r="A46" s="86">
        <v>29</v>
      </c>
      <c r="B46" s="90" t="s">
        <v>936</v>
      </c>
      <c r="C46" s="504"/>
      <c r="D46" s="505"/>
      <c r="E46" s="91">
        <v>0.09</v>
      </c>
      <c r="F46" s="505"/>
      <c r="G46" s="88">
        <f>G45*E46</f>
        <v>89922.3336</v>
      </c>
      <c r="H46" s="442"/>
      <c r="I46" s="549"/>
    </row>
    <row r="47" spans="1:9" ht="16.5" customHeight="1">
      <c r="A47" s="86">
        <v>30</v>
      </c>
      <c r="B47" s="85" t="s">
        <v>1336</v>
      </c>
      <c r="C47" s="91"/>
      <c r="D47" s="335" t="s">
        <v>26</v>
      </c>
      <c r="E47" s="88">
        <f>97*1.11*1.086275*1.1112*1.0685</f>
        <v>138.86770458726812</v>
      </c>
      <c r="F47" s="91">
        <v>8</v>
      </c>
      <c r="G47" s="88">
        <f>E47*F47</f>
        <v>1110.941636698145</v>
      </c>
      <c r="H47" s="434"/>
      <c r="I47" s="592"/>
    </row>
    <row r="48" spans="1:7" ht="17.25" customHeight="1">
      <c r="A48" s="182">
        <v>31</v>
      </c>
      <c r="B48" s="117" t="s">
        <v>310</v>
      </c>
      <c r="C48" s="593"/>
      <c r="D48" s="116" t="s">
        <v>28</v>
      </c>
      <c r="E48" s="119">
        <f>1664*1.27*1.0891*1.086275*1.1112*1.0685</f>
        <v>2968.460981603261</v>
      </c>
      <c r="F48" s="86">
        <v>6</v>
      </c>
      <c r="G48" s="88">
        <f>F48*E48</f>
        <v>17810.765889619568</v>
      </c>
    </row>
    <row r="49" spans="1:10" ht="14.25" customHeight="1">
      <c r="A49" s="182">
        <v>32</v>
      </c>
      <c r="B49" s="127" t="s">
        <v>116</v>
      </c>
      <c r="C49" s="593"/>
      <c r="D49" s="119"/>
      <c r="E49" s="182"/>
      <c r="F49" s="182"/>
      <c r="G49" s="119">
        <v>104946.12</v>
      </c>
      <c r="H49" s="553"/>
      <c r="I49" s="64"/>
      <c r="J49" s="201"/>
    </row>
    <row r="50" spans="1:10" ht="16.5" customHeight="1">
      <c r="A50" s="182">
        <v>33</v>
      </c>
      <c r="B50" s="327" t="s">
        <v>949</v>
      </c>
      <c r="C50" s="593"/>
      <c r="D50" s="119"/>
      <c r="E50" s="182"/>
      <c r="F50" s="182"/>
      <c r="G50" s="119">
        <f>7027.37*1.1402*0.9368</f>
        <v>7506.2104942832</v>
      </c>
      <c r="H50" s="392"/>
      <c r="J50" s="59"/>
    </row>
    <row r="51" spans="1:10" ht="15">
      <c r="A51" s="14">
        <v>34</v>
      </c>
      <c r="B51" s="97" t="s">
        <v>938</v>
      </c>
      <c r="C51" s="593"/>
      <c r="D51" s="119"/>
      <c r="E51" s="182"/>
      <c r="F51" s="182"/>
      <c r="G51" s="129">
        <f>G45+G46+G47+G48+G49+G50</f>
        <v>1220433.4116206006</v>
      </c>
      <c r="H51" s="455"/>
      <c r="J51" s="59"/>
    </row>
    <row r="52" spans="1:10" ht="32.25" customHeight="1">
      <c r="A52" s="182">
        <v>35</v>
      </c>
      <c r="B52" s="90" t="s">
        <v>939</v>
      </c>
      <c r="C52" s="593"/>
      <c r="D52" s="119"/>
      <c r="E52" s="182">
        <v>0.11</v>
      </c>
      <c r="F52" s="182"/>
      <c r="G52" s="119">
        <f>G45*E52</f>
        <v>109905.0744</v>
      </c>
      <c r="H52" s="455"/>
      <c r="J52" s="59"/>
    </row>
    <row r="53" spans="1:7" ht="16.5" customHeight="1">
      <c r="A53" s="86">
        <v>36</v>
      </c>
      <c r="B53" s="162" t="s">
        <v>1338</v>
      </c>
      <c r="C53" s="593"/>
      <c r="D53" s="119"/>
      <c r="E53" s="182"/>
      <c r="F53" s="119"/>
      <c r="G53" s="119">
        <f>G51+G52</f>
        <v>1330338.4860206007</v>
      </c>
    </row>
    <row r="54" spans="1:7" ht="16.5" customHeight="1">
      <c r="A54" s="14">
        <v>37</v>
      </c>
      <c r="B54" s="247" t="s">
        <v>1339</v>
      </c>
      <c r="C54" s="594"/>
      <c r="D54" s="188"/>
      <c r="E54" s="189"/>
      <c r="F54" s="182"/>
      <c r="G54" s="129">
        <f>ROUND(G53,0)</f>
        <v>1330338</v>
      </c>
    </row>
    <row r="55" spans="1:7" ht="12.75">
      <c r="A55" s="595"/>
      <c r="B55" s="257"/>
      <c r="C55" s="596"/>
      <c r="D55" s="257"/>
      <c r="E55" s="257"/>
      <c r="F55" s="257"/>
      <c r="G55" s="360"/>
    </row>
    <row r="56" spans="1:7" ht="16.5" customHeight="1">
      <c r="A56" s="597"/>
      <c r="B56" s="861" t="s">
        <v>101</v>
      </c>
      <c r="C56" s="861"/>
      <c r="D56" s="861"/>
      <c r="E56" s="861"/>
      <c r="F56" s="861"/>
      <c r="G56" s="861"/>
    </row>
    <row r="58" ht="12.75">
      <c r="B58" s="258"/>
    </row>
    <row r="59" ht="12.75">
      <c r="B59" s="258"/>
    </row>
    <row r="60" ht="12.75">
      <c r="B60" s="258"/>
    </row>
    <row r="61" ht="12.75">
      <c r="B61" s="258"/>
    </row>
    <row r="76" spans="2:3" ht="15.75">
      <c r="B76" s="854" t="s">
        <v>1040</v>
      </c>
      <c r="C76" s="854"/>
    </row>
    <row r="78" spans="2:4" ht="14.25">
      <c r="B78" s="588" t="s">
        <v>49</v>
      </c>
      <c r="C78" s="163">
        <v>7130820155</v>
      </c>
      <c r="D78" s="192" t="s">
        <v>26</v>
      </c>
    </row>
  </sheetData>
  <sheetProtection/>
  <mergeCells count="9">
    <mergeCell ref="I32:J32"/>
    <mergeCell ref="B76:C76"/>
    <mergeCell ref="B56:G56"/>
    <mergeCell ref="B1:C1"/>
    <mergeCell ref="A3:G3"/>
    <mergeCell ref="A4:G4"/>
    <mergeCell ref="A13:A15"/>
    <mergeCell ref="A34:A40"/>
    <mergeCell ref="A41:A42"/>
  </mergeCells>
  <printOptions horizontalCentered="1"/>
  <pageMargins left="0.75" right="0.16" top="0.77" bottom="0.41" header="1.16" footer="0.16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M7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G1"/>
    </sheetView>
  </sheetViews>
  <sheetFormatPr defaultColWidth="9.140625" defaultRowHeight="12.75"/>
  <cols>
    <col min="1" max="1" width="5.00390625" style="245" customWidth="1"/>
    <col min="2" max="2" width="69.140625" style="59" customWidth="1"/>
    <col min="3" max="3" width="12.421875" style="59" bestFit="1" customWidth="1"/>
    <col min="4" max="4" width="6.28125" style="59" customWidth="1"/>
    <col min="5" max="5" width="10.421875" style="59" customWidth="1"/>
    <col min="6" max="6" width="6.140625" style="59" bestFit="1" customWidth="1"/>
    <col min="7" max="7" width="11.8515625" style="59" bestFit="1" customWidth="1"/>
    <col min="8" max="8" width="12.421875" style="59" customWidth="1"/>
    <col min="9" max="9" width="22.140625" style="59" customWidth="1"/>
    <col min="10" max="10" width="12.421875" style="59" bestFit="1" customWidth="1"/>
    <col min="11" max="11" width="3.57421875" style="59" bestFit="1" customWidth="1"/>
    <col min="12" max="16384" width="9.140625" style="59" customWidth="1"/>
  </cols>
  <sheetData>
    <row r="1" spans="1:7" ht="18">
      <c r="A1" s="816" t="s">
        <v>117</v>
      </c>
      <c r="B1" s="816"/>
      <c r="C1" s="816"/>
      <c r="D1" s="816"/>
      <c r="E1" s="816"/>
      <c r="F1" s="816"/>
      <c r="G1" s="816"/>
    </row>
    <row r="2" spans="1:7" ht="12.75" customHeight="1">
      <c r="A2" s="604"/>
      <c r="B2" s="604"/>
      <c r="C2" s="604"/>
      <c r="D2" s="604"/>
      <c r="E2" s="604"/>
      <c r="F2" s="604"/>
      <c r="G2" s="604"/>
    </row>
    <row r="3" spans="1:7" ht="15">
      <c r="A3" s="866" t="s">
        <v>118</v>
      </c>
      <c r="B3" s="866"/>
      <c r="C3" s="866"/>
      <c r="D3" s="866"/>
      <c r="E3" s="866"/>
      <c r="F3" s="866"/>
      <c r="G3" s="866"/>
    </row>
    <row r="4" spans="1:7" ht="11.25" customHeight="1">
      <c r="A4" s="605"/>
      <c r="B4" s="46"/>
      <c r="C4" s="46"/>
      <c r="D4" s="46"/>
      <c r="E4" s="46"/>
      <c r="F4" s="46"/>
      <c r="G4" s="46"/>
    </row>
    <row r="5" spans="1:7" ht="15">
      <c r="A5" s="605"/>
      <c r="B5" s="605"/>
      <c r="C5" s="605"/>
      <c r="D5" s="605"/>
      <c r="E5" s="605"/>
      <c r="F5" s="605"/>
      <c r="G5" s="730" t="s">
        <v>1003</v>
      </c>
    </row>
    <row r="6" spans="1:8" ht="11.25" customHeight="1">
      <c r="A6" s="605"/>
      <c r="B6" s="605"/>
      <c r="C6" s="605"/>
      <c r="D6" s="605"/>
      <c r="E6" s="605"/>
      <c r="F6" s="605"/>
      <c r="G6" s="605"/>
      <c r="H6" s="69"/>
    </row>
    <row r="7" spans="1:7" ht="30">
      <c r="A7" s="39" t="s">
        <v>191</v>
      </c>
      <c r="B7" s="39" t="s">
        <v>23</v>
      </c>
      <c r="C7" s="606" t="s">
        <v>79</v>
      </c>
      <c r="D7" s="14" t="s">
        <v>24</v>
      </c>
      <c r="E7" s="14" t="s">
        <v>1010</v>
      </c>
      <c r="F7" s="14" t="s">
        <v>25</v>
      </c>
      <c r="G7" s="14" t="s">
        <v>1047</v>
      </c>
    </row>
    <row r="8" spans="1:8" ht="15">
      <c r="A8" s="294" t="s">
        <v>892</v>
      </c>
      <c r="B8" s="294" t="s">
        <v>893</v>
      </c>
      <c r="C8" s="294" t="s">
        <v>894</v>
      </c>
      <c r="D8" s="294" t="s">
        <v>650</v>
      </c>
      <c r="E8" s="294" t="s">
        <v>651</v>
      </c>
      <c r="F8" s="294" t="s">
        <v>895</v>
      </c>
      <c r="G8" s="294" t="s">
        <v>673</v>
      </c>
      <c r="H8" s="607"/>
    </row>
    <row r="9" spans="1:8" ht="15.75" customHeight="1">
      <c r="A9" s="182">
        <v>1</v>
      </c>
      <c r="B9" s="184" t="s">
        <v>615</v>
      </c>
      <c r="C9" s="118">
        <v>7132210008</v>
      </c>
      <c r="D9" s="182" t="s">
        <v>26</v>
      </c>
      <c r="E9" s="119">
        <f>VLOOKUP(C9,'SOR RATE'!A:D,4,0)</f>
        <v>54268</v>
      </c>
      <c r="F9" s="583">
        <v>1</v>
      </c>
      <c r="G9" s="584">
        <f>E9*F9</f>
        <v>54268</v>
      </c>
      <c r="H9" s="758"/>
    </row>
    <row r="10" spans="1:8" ht="17.25" customHeight="1">
      <c r="A10" s="182">
        <v>2</v>
      </c>
      <c r="B10" s="162" t="s">
        <v>616</v>
      </c>
      <c r="C10" s="118">
        <v>7132210007</v>
      </c>
      <c r="D10" s="182" t="s">
        <v>26</v>
      </c>
      <c r="E10" s="119">
        <f>VLOOKUP(C10,'SOR RATE'!A:D,4,0)</f>
        <v>44836</v>
      </c>
      <c r="F10" s="182">
        <v>2</v>
      </c>
      <c r="G10" s="584">
        <f aca="true" t="shared" si="0" ref="G10:G44">E10*F10</f>
        <v>89672</v>
      </c>
      <c r="H10" s="755"/>
    </row>
    <row r="11" spans="1:7" ht="13.5" customHeight="1">
      <c r="A11" s="182">
        <v>3</v>
      </c>
      <c r="B11" s="162" t="s">
        <v>617</v>
      </c>
      <c r="C11" s="118">
        <v>7132210078</v>
      </c>
      <c r="D11" s="182" t="s">
        <v>26</v>
      </c>
      <c r="E11" s="119">
        <f>VLOOKUP(C11,'SOR RATE'!A:D,4,0)</f>
        <v>36194</v>
      </c>
      <c r="F11" s="182">
        <v>3</v>
      </c>
      <c r="G11" s="584">
        <f>F11*E11</f>
        <v>108582</v>
      </c>
    </row>
    <row r="12" spans="1:7" ht="15" customHeight="1">
      <c r="A12" s="182">
        <v>4</v>
      </c>
      <c r="B12" s="585" t="s">
        <v>618</v>
      </c>
      <c r="C12" s="152">
        <v>7130800012</v>
      </c>
      <c r="D12" s="330" t="s">
        <v>26</v>
      </c>
      <c r="E12" s="119">
        <f>VLOOKUP(C12,'SOR RATE'!A:D,4,0)</f>
        <v>1654</v>
      </c>
      <c r="F12" s="583">
        <v>6</v>
      </c>
      <c r="G12" s="584">
        <f t="shared" si="0"/>
        <v>9924</v>
      </c>
    </row>
    <row r="13" spans="1:7" ht="15.75" customHeight="1">
      <c r="A13" s="855">
        <v>5</v>
      </c>
      <c r="B13" s="85" t="s">
        <v>318</v>
      </c>
      <c r="C13" s="586">
        <v>7130860032</v>
      </c>
      <c r="D13" s="182" t="s">
        <v>26</v>
      </c>
      <c r="E13" s="119">
        <f>VLOOKUP(C13,'SOR RATE'!A:D,4,0)</f>
        <v>387</v>
      </c>
      <c r="F13" s="583">
        <v>25</v>
      </c>
      <c r="G13" s="584">
        <f t="shared" si="0"/>
        <v>9675</v>
      </c>
    </row>
    <row r="14" spans="1:7" ht="17.25" customHeight="1">
      <c r="A14" s="860"/>
      <c r="B14" s="162" t="s">
        <v>119</v>
      </c>
      <c r="C14" s="586">
        <v>7130860077</v>
      </c>
      <c r="D14" s="182" t="s">
        <v>32</v>
      </c>
      <c r="E14" s="119">
        <f>VLOOKUP(C14,'SOR RATE'!A:D,4,0)/1000</f>
        <v>61.6</v>
      </c>
      <c r="F14" s="583">
        <v>137.5</v>
      </c>
      <c r="G14" s="584">
        <f t="shared" si="0"/>
        <v>8470</v>
      </c>
    </row>
    <row r="15" spans="1:9" ht="16.5" customHeight="1">
      <c r="A15" s="856"/>
      <c r="B15" s="162" t="s">
        <v>120</v>
      </c>
      <c r="C15" s="593">
        <v>7130810026</v>
      </c>
      <c r="D15" s="182" t="s">
        <v>26</v>
      </c>
      <c r="E15" s="119">
        <f>VLOOKUP(C15,'SOR RATE'!A:D,4,0)</f>
        <v>142</v>
      </c>
      <c r="F15" s="583">
        <v>25</v>
      </c>
      <c r="G15" s="584">
        <f t="shared" si="0"/>
        <v>3550</v>
      </c>
      <c r="I15" s="181"/>
    </row>
    <row r="16" spans="1:9" ht="30" customHeight="1">
      <c r="A16" s="587">
        <v>6</v>
      </c>
      <c r="B16" s="588" t="s">
        <v>1114</v>
      </c>
      <c r="C16" s="712">
        <v>7130850201</v>
      </c>
      <c r="D16" s="187" t="s">
        <v>1012</v>
      </c>
      <c r="E16" s="119">
        <f>VLOOKUP(C16,'SOR RATE'!A:D,4,0)</f>
        <v>4547</v>
      </c>
      <c r="F16" s="583">
        <v>5</v>
      </c>
      <c r="G16" s="584">
        <f t="shared" si="0"/>
        <v>22735</v>
      </c>
      <c r="I16" s="181"/>
    </row>
    <row r="17" spans="1:9" ht="17.25" customHeight="1">
      <c r="A17" s="587">
        <v>7</v>
      </c>
      <c r="B17" s="588" t="s">
        <v>1115</v>
      </c>
      <c r="C17" s="712">
        <v>7130850201</v>
      </c>
      <c r="D17" s="187" t="s">
        <v>1012</v>
      </c>
      <c r="E17" s="119">
        <f>VLOOKUP(C17,'SOR RATE'!A:D,4,0)</f>
        <v>4547</v>
      </c>
      <c r="F17" s="583">
        <v>5</v>
      </c>
      <c r="G17" s="584">
        <f t="shared" si="0"/>
        <v>22735</v>
      </c>
      <c r="I17" s="181"/>
    </row>
    <row r="18" spans="1:7" ht="14.25">
      <c r="A18" s="587">
        <v>8</v>
      </c>
      <c r="B18" s="588" t="s">
        <v>1116</v>
      </c>
      <c r="C18" s="315">
        <v>7130810509</v>
      </c>
      <c r="D18" s="164" t="s">
        <v>1012</v>
      </c>
      <c r="E18" s="119">
        <f>VLOOKUP(C18,'SOR RATE'!A205:D205,4,0)</f>
        <v>3322</v>
      </c>
      <c r="F18" s="583">
        <v>5</v>
      </c>
      <c r="G18" s="584">
        <f t="shared" si="0"/>
        <v>16610</v>
      </c>
    </row>
    <row r="19" spans="1:7" ht="14.25">
      <c r="A19" s="587">
        <v>9</v>
      </c>
      <c r="B19" s="588" t="s">
        <v>1117</v>
      </c>
      <c r="C19" s="118">
        <v>7130810681</v>
      </c>
      <c r="D19" s="164" t="s">
        <v>26</v>
      </c>
      <c r="E19" s="119">
        <f>VLOOKUP(C19,'SOR RATE'!A:D,4,0)</f>
        <v>3227</v>
      </c>
      <c r="F19" s="583">
        <v>10</v>
      </c>
      <c r="G19" s="584">
        <f t="shared" si="0"/>
        <v>32270</v>
      </c>
    </row>
    <row r="20" spans="1:7" ht="14.25">
      <c r="A20" s="587">
        <v>10</v>
      </c>
      <c r="B20" s="588" t="s">
        <v>269</v>
      </c>
      <c r="C20" s="287">
        <v>7130820241</v>
      </c>
      <c r="D20" s="164" t="s">
        <v>1012</v>
      </c>
      <c r="E20" s="119">
        <f>VLOOKUP(C20,'SOR RATE'!A:D,4,0)</f>
        <v>123</v>
      </c>
      <c r="F20" s="583">
        <v>36</v>
      </c>
      <c r="G20" s="584">
        <f t="shared" si="0"/>
        <v>4428</v>
      </c>
    </row>
    <row r="21" spans="1:9" ht="14.25">
      <c r="A21" s="587">
        <v>11</v>
      </c>
      <c r="B21" s="588" t="s">
        <v>1035</v>
      </c>
      <c r="C21" s="287">
        <v>7130820010</v>
      </c>
      <c r="D21" s="164" t="s">
        <v>26</v>
      </c>
      <c r="E21" s="119">
        <f>VLOOKUP(C21,'SOR RATE'!A:D,4,0)</f>
        <v>140</v>
      </c>
      <c r="F21" s="583">
        <v>36</v>
      </c>
      <c r="G21" s="584">
        <f t="shared" si="0"/>
        <v>5040</v>
      </c>
      <c r="I21" s="2" t="s">
        <v>1034</v>
      </c>
    </row>
    <row r="22" spans="1:9" ht="14.25">
      <c r="A22" s="587">
        <v>12</v>
      </c>
      <c r="B22" s="588" t="s">
        <v>1037</v>
      </c>
      <c r="C22" s="287">
        <v>7130840029</v>
      </c>
      <c r="D22" s="164" t="s">
        <v>26</v>
      </c>
      <c r="E22" s="119">
        <f>VLOOKUP(C22,'SOR RATE'!A:D,4,0)</f>
        <v>425</v>
      </c>
      <c r="F22" s="583">
        <v>15</v>
      </c>
      <c r="G22" s="584">
        <f t="shared" si="0"/>
        <v>6375</v>
      </c>
      <c r="I22" s="733" t="s">
        <v>1036</v>
      </c>
    </row>
    <row r="23" spans="1:7" ht="14.25">
      <c r="A23" s="587">
        <v>13</v>
      </c>
      <c r="B23" s="588" t="s">
        <v>110</v>
      </c>
      <c r="C23" s="287">
        <v>7131930412</v>
      </c>
      <c r="D23" s="164" t="s">
        <v>26</v>
      </c>
      <c r="E23" s="119">
        <f>VLOOKUP(C23,'SOR RATE'!A:D,4,0)</f>
        <v>1199</v>
      </c>
      <c r="F23" s="583">
        <v>15</v>
      </c>
      <c r="G23" s="584">
        <f t="shared" si="0"/>
        <v>17985</v>
      </c>
    </row>
    <row r="24" spans="1:7" ht="28.5" customHeight="1">
      <c r="A24" s="587">
        <v>14</v>
      </c>
      <c r="B24" s="588" t="s">
        <v>1118</v>
      </c>
      <c r="C24" s="589"/>
      <c r="D24" s="119" t="s">
        <v>26</v>
      </c>
      <c r="E24" s="119">
        <f>+'[1]D8 page 146-147'!E24</f>
        <v>16000</v>
      </c>
      <c r="F24" s="583">
        <v>2</v>
      </c>
      <c r="G24" s="584">
        <f t="shared" si="0"/>
        <v>32000</v>
      </c>
    </row>
    <row r="25" spans="1:7" ht="30" customHeight="1">
      <c r="A25" s="587">
        <v>15</v>
      </c>
      <c r="B25" s="588" t="s">
        <v>1119</v>
      </c>
      <c r="C25" s="589"/>
      <c r="D25" s="119" t="s">
        <v>26</v>
      </c>
      <c r="E25" s="119">
        <f>+'[1]D8 page 146-147'!E25</f>
        <v>13000</v>
      </c>
      <c r="F25" s="583">
        <v>3</v>
      </c>
      <c r="G25" s="584">
        <f t="shared" si="0"/>
        <v>39000</v>
      </c>
    </row>
    <row r="26" spans="1:13" ht="15.75" customHeight="1">
      <c r="A26" s="587">
        <v>16</v>
      </c>
      <c r="B26" s="588" t="s">
        <v>273</v>
      </c>
      <c r="C26" s="586">
        <v>7130310021</v>
      </c>
      <c r="D26" s="164" t="s">
        <v>307</v>
      </c>
      <c r="E26" s="119">
        <f>VLOOKUP(C26,'SOR RATE'!A:D,4,0)/1000</f>
        <v>39.632</v>
      </c>
      <c r="F26" s="583">
        <v>100</v>
      </c>
      <c r="G26" s="584">
        <f t="shared" si="0"/>
        <v>3963.2</v>
      </c>
      <c r="I26" s="261"/>
      <c r="J26" s="261"/>
      <c r="K26" s="261"/>
      <c r="L26" s="261"/>
      <c r="M26" s="261"/>
    </row>
    <row r="27" spans="1:13" ht="15.75" customHeight="1">
      <c r="A27" s="587">
        <v>17</v>
      </c>
      <c r="B27" s="588" t="s">
        <v>274</v>
      </c>
      <c r="C27" s="287">
        <v>7130310044</v>
      </c>
      <c r="D27" s="164" t="s">
        <v>307</v>
      </c>
      <c r="E27" s="119">
        <f>VLOOKUP(C27,'SOR RATE'!A:D,4,0)/1000</f>
        <v>94.953</v>
      </c>
      <c r="F27" s="583">
        <v>1300</v>
      </c>
      <c r="G27" s="584">
        <f t="shared" si="0"/>
        <v>123438.90000000001</v>
      </c>
      <c r="I27" s="200"/>
      <c r="J27" s="200"/>
      <c r="K27" s="200"/>
      <c r="L27" s="200"/>
      <c r="M27" s="200"/>
    </row>
    <row r="28" spans="1:7" ht="14.25">
      <c r="A28" s="587">
        <v>18</v>
      </c>
      <c r="B28" s="588" t="s">
        <v>1120</v>
      </c>
      <c r="C28" s="287">
        <v>7130641396</v>
      </c>
      <c r="D28" s="164" t="s">
        <v>307</v>
      </c>
      <c r="E28" s="119">
        <f>VLOOKUP(C28,'SOR RATE'!A:D,4,0)</f>
        <v>190</v>
      </c>
      <c r="F28" s="583">
        <v>45</v>
      </c>
      <c r="G28" s="584">
        <f t="shared" si="0"/>
        <v>8550</v>
      </c>
    </row>
    <row r="29" spans="1:7" ht="14.25">
      <c r="A29" s="587">
        <v>19</v>
      </c>
      <c r="B29" s="588" t="s">
        <v>172</v>
      </c>
      <c r="C29" s="287">
        <v>7130870043</v>
      </c>
      <c r="D29" s="164" t="s">
        <v>32</v>
      </c>
      <c r="E29" s="119">
        <f>VLOOKUP(C29,'SOR RATE'!A:D,4,0)/1000</f>
        <v>55.094</v>
      </c>
      <c r="F29" s="583">
        <v>130</v>
      </c>
      <c r="G29" s="584">
        <f t="shared" si="0"/>
        <v>7162.22</v>
      </c>
    </row>
    <row r="30" spans="1:7" ht="14.25">
      <c r="A30" s="587">
        <v>20</v>
      </c>
      <c r="B30" s="588" t="s">
        <v>818</v>
      </c>
      <c r="C30" s="163">
        <v>7130810495</v>
      </c>
      <c r="D30" s="164" t="s">
        <v>26</v>
      </c>
      <c r="E30" s="119">
        <f>VLOOKUP(C30,'SOR RATE'!A:D,4,0)</f>
        <v>1048</v>
      </c>
      <c r="F30" s="583">
        <v>45</v>
      </c>
      <c r="G30" s="584">
        <f t="shared" si="0"/>
        <v>47160</v>
      </c>
    </row>
    <row r="31" spans="1:7" ht="14.25">
      <c r="A31" s="182">
        <v>21</v>
      </c>
      <c r="B31" s="162" t="s">
        <v>819</v>
      </c>
      <c r="C31" s="163">
        <v>7130810679</v>
      </c>
      <c r="D31" s="164" t="s">
        <v>26</v>
      </c>
      <c r="E31" s="119">
        <f>VLOOKUP(C31,'SOR RATE'!A:D,4,0)</f>
        <v>294</v>
      </c>
      <c r="F31" s="583">
        <v>45</v>
      </c>
      <c r="G31" s="584">
        <f t="shared" si="0"/>
        <v>13230</v>
      </c>
    </row>
    <row r="32" spans="1:10" ht="14.25">
      <c r="A32" s="587">
        <v>22</v>
      </c>
      <c r="B32" s="588" t="s">
        <v>1039</v>
      </c>
      <c r="C32" s="163">
        <v>7130820008</v>
      </c>
      <c r="D32" s="164" t="s">
        <v>26</v>
      </c>
      <c r="E32" s="119">
        <f>VLOOKUP(C32,'SOR RATE'!A:D,4,0)</f>
        <v>157</v>
      </c>
      <c r="F32" s="583">
        <v>135</v>
      </c>
      <c r="G32" s="584">
        <f t="shared" si="0"/>
        <v>21195</v>
      </c>
      <c r="I32" s="853" t="s">
        <v>1038</v>
      </c>
      <c r="J32" s="853"/>
    </row>
    <row r="33" spans="1:7" ht="17.25" customHeight="1">
      <c r="A33" s="182">
        <v>23</v>
      </c>
      <c r="B33" s="85" t="s">
        <v>235</v>
      </c>
      <c r="C33" s="118">
        <v>7130870013</v>
      </c>
      <c r="D33" s="182" t="s">
        <v>26</v>
      </c>
      <c r="E33" s="119">
        <f>VLOOKUP(C33,'SOR RATE'!A:D,4,0)</f>
        <v>100</v>
      </c>
      <c r="F33" s="583">
        <v>45</v>
      </c>
      <c r="G33" s="584">
        <f t="shared" si="0"/>
        <v>4500</v>
      </c>
    </row>
    <row r="34" spans="1:7" ht="14.25">
      <c r="A34" s="867">
        <v>24</v>
      </c>
      <c r="B34" s="143" t="s">
        <v>33</v>
      </c>
      <c r="C34" s="433"/>
      <c r="D34" s="86" t="s">
        <v>32</v>
      </c>
      <c r="E34" s="88"/>
      <c r="F34" s="160">
        <v>190</v>
      </c>
      <c r="G34" s="295"/>
    </row>
    <row r="35" spans="1:7" ht="14.25">
      <c r="A35" s="868"/>
      <c r="B35" s="246" t="s">
        <v>1017</v>
      </c>
      <c r="C35" s="586">
        <v>7130620609</v>
      </c>
      <c r="D35" s="86" t="s">
        <v>32</v>
      </c>
      <c r="E35" s="119">
        <f>VLOOKUP(C35,'SOR RATE'!A:D,4,0)</f>
        <v>64</v>
      </c>
      <c r="F35" s="583">
        <v>30</v>
      </c>
      <c r="G35" s="584">
        <f t="shared" si="0"/>
        <v>1920</v>
      </c>
    </row>
    <row r="36" spans="1:7" ht="14.25">
      <c r="A36" s="868"/>
      <c r="B36" s="246" t="s">
        <v>192</v>
      </c>
      <c r="C36" s="586">
        <v>7130620614</v>
      </c>
      <c r="D36" s="86" t="s">
        <v>32</v>
      </c>
      <c r="E36" s="119">
        <f>VLOOKUP(C36,'SOR RATE'!A:D,4,0)</f>
        <v>63</v>
      </c>
      <c r="F36" s="583">
        <v>60</v>
      </c>
      <c r="G36" s="584">
        <f t="shared" si="0"/>
        <v>3780</v>
      </c>
    </row>
    <row r="37" spans="1:7" ht="14.25">
      <c r="A37" s="868"/>
      <c r="B37" s="246" t="s">
        <v>193</v>
      </c>
      <c r="C37" s="163">
        <v>7130620619</v>
      </c>
      <c r="D37" s="86" t="s">
        <v>32</v>
      </c>
      <c r="E37" s="119">
        <f>VLOOKUP(C37,'SOR RATE'!A:D,4,0)</f>
        <v>63</v>
      </c>
      <c r="F37" s="583">
        <v>10</v>
      </c>
      <c r="G37" s="584">
        <f t="shared" si="0"/>
        <v>630</v>
      </c>
    </row>
    <row r="38" spans="1:7" ht="14.25">
      <c r="A38" s="868"/>
      <c r="B38" s="246" t="s">
        <v>194</v>
      </c>
      <c r="C38" s="152">
        <v>7130620625</v>
      </c>
      <c r="D38" s="86" t="s">
        <v>32</v>
      </c>
      <c r="E38" s="119">
        <f>VLOOKUP(C38,'SOR RATE'!A:D,4,0)</f>
        <v>62</v>
      </c>
      <c r="F38" s="583">
        <v>30</v>
      </c>
      <c r="G38" s="584">
        <f t="shared" si="0"/>
        <v>1860</v>
      </c>
    </row>
    <row r="39" spans="1:7" ht="14.25">
      <c r="A39" s="868"/>
      <c r="B39" s="246" t="s">
        <v>195</v>
      </c>
      <c r="C39" s="163">
        <v>7130620627</v>
      </c>
      <c r="D39" s="86" t="s">
        <v>32</v>
      </c>
      <c r="E39" s="119">
        <f>VLOOKUP(C39,'SOR RATE'!A:D,4,0)</f>
        <v>62</v>
      </c>
      <c r="F39" s="583">
        <v>30</v>
      </c>
      <c r="G39" s="584">
        <f t="shared" si="0"/>
        <v>1860</v>
      </c>
    </row>
    <row r="40" spans="1:7" ht="14.25">
      <c r="A40" s="869"/>
      <c r="B40" s="608" t="s">
        <v>278</v>
      </c>
      <c r="C40" s="163">
        <v>7130620631</v>
      </c>
      <c r="D40" s="86" t="s">
        <v>32</v>
      </c>
      <c r="E40" s="119">
        <f>VLOOKUP(C40,'SOR RATE'!A:D,4,0)</f>
        <v>62</v>
      </c>
      <c r="F40" s="583">
        <v>30</v>
      </c>
      <c r="G40" s="584">
        <f t="shared" si="0"/>
        <v>1860</v>
      </c>
    </row>
    <row r="41" spans="1:7" ht="29.25" customHeight="1">
      <c r="A41" s="870">
        <v>25</v>
      </c>
      <c r="B41" s="609" t="s">
        <v>97</v>
      </c>
      <c r="C41" s="586"/>
      <c r="D41" s="182" t="s">
        <v>1331</v>
      </c>
      <c r="E41" s="119"/>
      <c r="F41" s="583"/>
      <c r="G41" s="584"/>
    </row>
    <row r="42" spans="1:7" ht="16.5" customHeight="1">
      <c r="A42" s="870"/>
      <c r="B42" s="162" t="s">
        <v>311</v>
      </c>
      <c r="C42" s="118">
        <v>7130200401</v>
      </c>
      <c r="D42" s="182" t="s">
        <v>32</v>
      </c>
      <c r="E42" s="119">
        <f>VLOOKUP(C42,'SOR RATE'!A:D,4,0)/50</f>
        <v>5.36</v>
      </c>
      <c r="F42" s="583">
        <v>1040</v>
      </c>
      <c r="G42" s="584">
        <f t="shared" si="0"/>
        <v>5574.400000000001</v>
      </c>
    </row>
    <row r="43" spans="1:10" ht="14.25">
      <c r="A43" s="182">
        <v>26</v>
      </c>
      <c r="B43" s="585" t="s">
        <v>115</v>
      </c>
      <c r="C43" s="164">
        <v>7130860017</v>
      </c>
      <c r="D43" s="182" t="s">
        <v>26</v>
      </c>
      <c r="E43" s="119">
        <f>VLOOKUP(C43,'SOR RATE'!A:D,4,0)</f>
        <v>100</v>
      </c>
      <c r="F43" s="583">
        <v>10</v>
      </c>
      <c r="G43" s="584">
        <f t="shared" si="0"/>
        <v>1000</v>
      </c>
      <c r="I43" s="56"/>
      <c r="J43" s="50"/>
    </row>
    <row r="44" spans="1:7" ht="17.25" customHeight="1">
      <c r="A44" s="86">
        <v>27</v>
      </c>
      <c r="B44" s="162" t="s">
        <v>99</v>
      </c>
      <c r="C44" s="163">
        <v>7130830055</v>
      </c>
      <c r="D44" s="164" t="s">
        <v>307</v>
      </c>
      <c r="E44" s="119">
        <f>VLOOKUP(C44,'SOR RATE'!A:D,4,0)/1000</f>
        <v>20.281</v>
      </c>
      <c r="F44" s="583">
        <v>600</v>
      </c>
      <c r="G44" s="584">
        <f t="shared" si="0"/>
        <v>12168.599999999999</v>
      </c>
    </row>
    <row r="45" spans="1:9" ht="15">
      <c r="A45" s="36">
        <v>28</v>
      </c>
      <c r="B45" s="97" t="s">
        <v>937</v>
      </c>
      <c r="C45" s="603"/>
      <c r="D45" s="182"/>
      <c r="E45" s="182"/>
      <c r="F45" s="129"/>
      <c r="G45" s="129">
        <f>SUM(G9:G44)</f>
        <v>743171.32</v>
      </c>
      <c r="H45" s="442"/>
      <c r="I45" s="549"/>
    </row>
    <row r="46" spans="1:9" ht="16.5" customHeight="1">
      <c r="A46" s="116" t="s">
        <v>66</v>
      </c>
      <c r="B46" s="90" t="s">
        <v>936</v>
      </c>
      <c r="C46" s="504"/>
      <c r="D46" s="505"/>
      <c r="E46" s="91">
        <v>0.09</v>
      </c>
      <c r="F46" s="91"/>
      <c r="G46" s="88">
        <f>G45*E46</f>
        <v>66885.4188</v>
      </c>
      <c r="H46" s="442"/>
      <c r="I46" s="549"/>
    </row>
    <row r="47" spans="1:9" ht="16.5" customHeight="1">
      <c r="A47" s="116" t="s">
        <v>1121</v>
      </c>
      <c r="B47" s="85" t="s">
        <v>1336</v>
      </c>
      <c r="C47" s="504"/>
      <c r="D47" s="335" t="s">
        <v>26</v>
      </c>
      <c r="E47" s="88">
        <f>97*1.11*1.086275*1.1112*1.0685</f>
        <v>138.86770458726812</v>
      </c>
      <c r="F47" s="91">
        <v>6</v>
      </c>
      <c r="G47" s="88">
        <f>E47*F47</f>
        <v>833.2062275236087</v>
      </c>
      <c r="H47" s="455"/>
      <c r="I47" s="592"/>
    </row>
    <row r="48" spans="1:7" ht="16.5" customHeight="1">
      <c r="A48" s="182">
        <v>31</v>
      </c>
      <c r="B48" s="117" t="s">
        <v>310</v>
      </c>
      <c r="C48" s="593"/>
      <c r="D48" s="116" t="s">
        <v>28</v>
      </c>
      <c r="E48" s="119">
        <f>1664*1.27*1.0891*1.086275*1.1112*1.0685</f>
        <v>2968.460981603261</v>
      </c>
      <c r="F48" s="86">
        <v>5</v>
      </c>
      <c r="G48" s="88">
        <f>F48*E48</f>
        <v>14842.304908016305</v>
      </c>
    </row>
    <row r="49" spans="1:10" ht="14.25" customHeight="1">
      <c r="A49" s="182">
        <v>32</v>
      </c>
      <c r="B49" s="127" t="s">
        <v>1123</v>
      </c>
      <c r="C49" s="593"/>
      <c r="D49" s="119"/>
      <c r="E49" s="182"/>
      <c r="F49" s="182"/>
      <c r="G49" s="119">
        <v>79276.47</v>
      </c>
      <c r="H49" s="553"/>
      <c r="I49" s="64"/>
      <c r="J49" s="197"/>
    </row>
    <row r="50" spans="1:9" ht="14.25">
      <c r="A50" s="182">
        <v>33</v>
      </c>
      <c r="B50" s="327" t="s">
        <v>949</v>
      </c>
      <c r="C50" s="593"/>
      <c r="D50" s="119"/>
      <c r="E50" s="182"/>
      <c r="F50" s="182"/>
      <c r="G50" s="119">
        <f>5270.53*1.1402*0.9368</f>
        <v>5629.6605410608</v>
      </c>
      <c r="H50" s="392"/>
      <c r="I50" s="2"/>
    </row>
    <row r="51" spans="1:9" ht="15">
      <c r="A51" s="14">
        <v>34</v>
      </c>
      <c r="B51" s="97" t="s">
        <v>938</v>
      </c>
      <c r="C51" s="593"/>
      <c r="D51" s="119"/>
      <c r="E51" s="182"/>
      <c r="F51" s="182"/>
      <c r="G51" s="129">
        <f>G45+G46+G47+G48+G49+G50</f>
        <v>910638.3804766007</v>
      </c>
      <c r="H51" s="455"/>
      <c r="I51" s="2"/>
    </row>
    <row r="52" spans="1:9" ht="31.5" customHeight="1">
      <c r="A52" s="182">
        <v>35</v>
      </c>
      <c r="B52" s="90" t="s">
        <v>939</v>
      </c>
      <c r="C52" s="593"/>
      <c r="D52" s="119"/>
      <c r="E52" s="182">
        <v>0.11</v>
      </c>
      <c r="F52" s="182"/>
      <c r="G52" s="119">
        <f>G45*E52</f>
        <v>81748.8452</v>
      </c>
      <c r="H52" s="455"/>
      <c r="I52" s="2"/>
    </row>
    <row r="53" spans="1:7" ht="15.75" customHeight="1">
      <c r="A53" s="86">
        <v>36</v>
      </c>
      <c r="B53" s="162" t="s">
        <v>1338</v>
      </c>
      <c r="C53" s="118"/>
      <c r="D53" s="119"/>
      <c r="E53" s="182"/>
      <c r="F53" s="119"/>
      <c r="G53" s="119">
        <f>G51+G52</f>
        <v>992387.2256766007</v>
      </c>
    </row>
    <row r="54" spans="1:7" ht="17.25" customHeight="1">
      <c r="A54" s="14">
        <v>37</v>
      </c>
      <c r="B54" s="247" t="s">
        <v>1339</v>
      </c>
      <c r="C54" s="248"/>
      <c r="D54" s="188"/>
      <c r="E54" s="189"/>
      <c r="F54" s="182"/>
      <c r="G54" s="129">
        <f>ROUND(G53,0)</f>
        <v>992387</v>
      </c>
    </row>
    <row r="55" spans="1:7" ht="15">
      <c r="A55" s="13"/>
      <c r="B55" s="313"/>
      <c r="C55" s="610"/>
      <c r="D55" s="611"/>
      <c r="E55" s="314"/>
      <c r="F55" s="612"/>
      <c r="G55" s="338"/>
    </row>
    <row r="56" spans="1:7" ht="20.25" customHeight="1">
      <c r="A56" s="180" t="s">
        <v>1124</v>
      </c>
      <c r="B56" s="871" t="s">
        <v>1125</v>
      </c>
      <c r="C56" s="871"/>
      <c r="D56" s="871"/>
      <c r="E56" s="871"/>
      <c r="F56" s="871"/>
      <c r="G56" s="871"/>
    </row>
    <row r="57" spans="1:7" ht="15">
      <c r="A57" s="613"/>
      <c r="B57" s="292"/>
      <c r="C57" s="614"/>
      <c r="D57" s="292"/>
      <c r="E57" s="292"/>
      <c r="F57" s="292"/>
      <c r="G57" s="292"/>
    </row>
    <row r="59" ht="14.25">
      <c r="B59" s="615"/>
    </row>
    <row r="60" ht="14.25">
      <c r="B60" s="615"/>
    </row>
    <row r="61" ht="14.25">
      <c r="B61" s="615"/>
    </row>
    <row r="62" ht="14.25">
      <c r="B62" s="615"/>
    </row>
    <row r="71" spans="2:4" ht="15.75">
      <c r="B71" s="854" t="s">
        <v>1040</v>
      </c>
      <c r="C71" s="854"/>
      <c r="D71" s="2"/>
    </row>
    <row r="72" spans="2:4" ht="14.25">
      <c r="B72" s="2"/>
      <c r="C72" s="2"/>
      <c r="D72" s="2"/>
    </row>
    <row r="73" spans="2:4" ht="14.25">
      <c r="B73" s="588" t="s">
        <v>49</v>
      </c>
      <c r="C73" s="163">
        <v>7130820155</v>
      </c>
      <c r="D73" s="192" t="s">
        <v>26</v>
      </c>
    </row>
  </sheetData>
  <sheetProtection/>
  <mergeCells count="8">
    <mergeCell ref="A1:G1"/>
    <mergeCell ref="A3:G3"/>
    <mergeCell ref="A13:A15"/>
    <mergeCell ref="A34:A40"/>
    <mergeCell ref="I32:J32"/>
    <mergeCell ref="B71:C71"/>
    <mergeCell ref="A41:A42"/>
    <mergeCell ref="B56:G56"/>
  </mergeCells>
  <printOptions horizontalCentered="1"/>
  <pageMargins left="0.74" right="0.16" top="0.76" bottom="0.32" header="0.5" footer="0.15"/>
  <pageSetup horizontalDpi="600" verticalDpi="600" orientation="landscape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M64"/>
  <sheetViews>
    <sheetView zoomScale="115" zoomScaleNormal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421875" style="23" customWidth="1"/>
    <col min="2" max="2" width="59.57421875" style="2" customWidth="1"/>
    <col min="3" max="3" width="12.28125" style="2" customWidth="1"/>
    <col min="4" max="4" width="6.00390625" style="2" customWidth="1"/>
    <col min="5" max="5" width="5.28125" style="2" customWidth="1"/>
    <col min="6" max="6" width="9.140625" style="2" customWidth="1"/>
    <col min="7" max="7" width="9.57421875" style="2" customWidth="1"/>
    <col min="8" max="8" width="12.28125" style="2" customWidth="1"/>
    <col min="9" max="9" width="14.421875" style="2" bestFit="1" customWidth="1"/>
    <col min="10" max="10" width="12.57421875" style="2" customWidth="1"/>
    <col min="11" max="11" width="3.28125" style="2" bestFit="1" customWidth="1"/>
    <col min="12" max="12" width="3.421875" style="2" customWidth="1"/>
    <col min="13" max="13" width="4.00390625" style="2" bestFit="1" customWidth="1"/>
    <col min="14" max="16384" width="9.140625" style="2" customWidth="1"/>
  </cols>
  <sheetData>
    <row r="1" spans="2:9" ht="18" customHeight="1">
      <c r="B1" s="862" t="s">
        <v>1126</v>
      </c>
      <c r="C1" s="862"/>
      <c r="D1" s="197"/>
      <c r="E1" s="197"/>
      <c r="F1" s="197"/>
      <c r="G1" s="197"/>
      <c r="H1" s="38"/>
      <c r="I1" s="38"/>
    </row>
    <row r="2" spans="1:9" ht="9.75" customHeight="1">
      <c r="A2" s="201"/>
      <c r="B2" s="197"/>
      <c r="C2" s="197"/>
      <c r="D2" s="197"/>
      <c r="E2" s="197"/>
      <c r="F2" s="197"/>
      <c r="G2" s="197"/>
      <c r="H2" s="38"/>
      <c r="I2" s="38"/>
    </row>
    <row r="3" spans="1:7" ht="15" customHeight="1">
      <c r="A3" s="52"/>
      <c r="B3" s="781" t="s">
        <v>1127</v>
      </c>
      <c r="C3" s="781"/>
      <c r="D3" s="781"/>
      <c r="E3" s="29"/>
      <c r="F3" s="29"/>
      <c r="G3" s="29"/>
    </row>
    <row r="4" spans="1:7" ht="11.25" customHeight="1">
      <c r="A4" s="22"/>
      <c r="B4" s="29"/>
      <c r="C4" s="29"/>
      <c r="D4" s="29"/>
      <c r="E4" s="29"/>
      <c r="F4" s="29"/>
      <c r="G4" s="29"/>
    </row>
    <row r="5" spans="1:7" ht="15.75">
      <c r="A5" s="22"/>
      <c r="B5" s="29"/>
      <c r="C5" s="29"/>
      <c r="D5" s="29"/>
      <c r="E5" s="29"/>
      <c r="F5" s="841" t="s">
        <v>68</v>
      </c>
      <c r="G5" s="841"/>
    </row>
    <row r="6" spans="1:7" ht="25.5">
      <c r="A6" s="40" t="s">
        <v>191</v>
      </c>
      <c r="B6" s="40" t="s">
        <v>23</v>
      </c>
      <c r="C6" s="204" t="s">
        <v>698</v>
      </c>
      <c r="D6" s="40" t="s">
        <v>24</v>
      </c>
      <c r="E6" s="40" t="s">
        <v>178</v>
      </c>
      <c r="F6" s="40" t="s">
        <v>67</v>
      </c>
      <c r="G6" s="40" t="s">
        <v>1011</v>
      </c>
    </row>
    <row r="7" spans="1:9" ht="12.75">
      <c r="A7" s="40">
        <v>1</v>
      </c>
      <c r="B7" s="40">
        <v>2</v>
      </c>
      <c r="C7" s="204">
        <v>3</v>
      </c>
      <c r="D7" s="174">
        <v>4</v>
      </c>
      <c r="E7" s="40">
        <v>5</v>
      </c>
      <c r="F7" s="40">
        <v>6</v>
      </c>
      <c r="G7" s="40">
        <v>7</v>
      </c>
      <c r="H7" s="616"/>
      <c r="I7" s="38"/>
    </row>
    <row r="8" spans="1:9" ht="15" customHeight="1">
      <c r="A8" s="136">
        <v>1</v>
      </c>
      <c r="B8" s="104" t="s">
        <v>1128</v>
      </c>
      <c r="C8" s="210">
        <v>7130800012</v>
      </c>
      <c r="D8" s="617" t="s">
        <v>26</v>
      </c>
      <c r="E8" s="103">
        <v>1</v>
      </c>
      <c r="F8" s="102">
        <f>VLOOKUP(C8,'SOR RATE'!A:D,4,0)</f>
        <v>1654</v>
      </c>
      <c r="G8" s="102">
        <f aca="true" t="shared" si="0" ref="G8:G18">F8*E8</f>
        <v>1654</v>
      </c>
      <c r="I8" s="31"/>
    </row>
    <row r="9" spans="1:7" ht="15" customHeight="1">
      <c r="A9" s="136">
        <f>A8+1</f>
        <v>2</v>
      </c>
      <c r="B9" s="104" t="s">
        <v>1129</v>
      </c>
      <c r="C9" s="176">
        <v>7130810495</v>
      </c>
      <c r="D9" s="130" t="s">
        <v>26</v>
      </c>
      <c r="E9" s="103">
        <v>17</v>
      </c>
      <c r="F9" s="102">
        <f>VLOOKUP(C9,'SOR RATE'!A:D,4,0)</f>
        <v>1048</v>
      </c>
      <c r="G9" s="102">
        <f t="shared" si="0"/>
        <v>17816</v>
      </c>
    </row>
    <row r="10" spans="1:7" ht="15" customHeight="1">
      <c r="A10" s="136">
        <f>A9+1</f>
        <v>3</v>
      </c>
      <c r="B10" s="104" t="s">
        <v>1147</v>
      </c>
      <c r="C10" s="176">
        <v>7130810679</v>
      </c>
      <c r="D10" s="130" t="s">
        <v>26</v>
      </c>
      <c r="E10" s="103">
        <v>17</v>
      </c>
      <c r="F10" s="102">
        <f>VLOOKUP(C10,'SOR RATE'!A:D,4,0)</f>
        <v>294</v>
      </c>
      <c r="G10" s="102">
        <f t="shared" si="0"/>
        <v>4998</v>
      </c>
    </row>
    <row r="11" spans="1:7" ht="15" customHeight="1">
      <c r="A11" s="136">
        <f>A10+1</f>
        <v>4</v>
      </c>
      <c r="B11" s="104" t="s">
        <v>1130</v>
      </c>
      <c r="C11" s="210">
        <v>7130870013</v>
      </c>
      <c r="D11" s="618" t="s">
        <v>26</v>
      </c>
      <c r="E11" s="103">
        <v>17</v>
      </c>
      <c r="F11" s="102">
        <f>VLOOKUP(C11,'SOR RATE'!A:D,4,0)</f>
        <v>100</v>
      </c>
      <c r="G11" s="102">
        <f t="shared" si="0"/>
        <v>1700</v>
      </c>
    </row>
    <row r="12" spans="1:10" ht="15" customHeight="1">
      <c r="A12" s="136">
        <f>A11+1</f>
        <v>5</v>
      </c>
      <c r="B12" s="737" t="s">
        <v>1039</v>
      </c>
      <c r="C12" s="735">
        <v>7130820008</v>
      </c>
      <c r="D12" s="130" t="s">
        <v>26</v>
      </c>
      <c r="E12" s="103">
        <v>51</v>
      </c>
      <c r="F12" s="102">
        <f>VLOOKUP(C12,'SOR RATE'!A:D,4,0)</f>
        <v>157</v>
      </c>
      <c r="G12" s="102">
        <f t="shared" si="0"/>
        <v>8007</v>
      </c>
      <c r="I12" s="853" t="s">
        <v>1038</v>
      </c>
      <c r="J12" s="853"/>
    </row>
    <row r="13" spans="1:7" ht="15" customHeight="1">
      <c r="A13" s="136">
        <v>6</v>
      </c>
      <c r="B13" s="222" t="s">
        <v>1131</v>
      </c>
      <c r="C13" s="713">
        <v>7130830854</v>
      </c>
      <c r="D13" s="106" t="s">
        <v>26</v>
      </c>
      <c r="E13" s="103">
        <v>6</v>
      </c>
      <c r="F13" s="102">
        <f>VLOOKUP(C13,'SOR RATE'!A:D,4,0)</f>
        <v>26</v>
      </c>
      <c r="G13" s="102">
        <f t="shared" si="0"/>
        <v>156</v>
      </c>
    </row>
    <row r="14" spans="1:7" ht="15" customHeight="1">
      <c r="A14" s="136">
        <v>7</v>
      </c>
      <c r="B14" s="104" t="s">
        <v>754</v>
      </c>
      <c r="C14" s="210">
        <v>7130211158</v>
      </c>
      <c r="D14" s="617" t="s">
        <v>30</v>
      </c>
      <c r="E14" s="103">
        <v>3</v>
      </c>
      <c r="F14" s="102">
        <f>VLOOKUP(C14,'SOR RATE'!A:D,4,0)</f>
        <v>130</v>
      </c>
      <c r="G14" s="102">
        <f t="shared" si="0"/>
        <v>390</v>
      </c>
    </row>
    <row r="15" spans="1:7" ht="15" customHeight="1">
      <c r="A15" s="136">
        <v>8</v>
      </c>
      <c r="B15" s="104" t="s">
        <v>648</v>
      </c>
      <c r="C15" s="210">
        <v>7130210809</v>
      </c>
      <c r="D15" s="617" t="s">
        <v>30</v>
      </c>
      <c r="E15" s="103">
        <v>3</v>
      </c>
      <c r="F15" s="102">
        <f>VLOOKUP(C15,'SOR RATE'!A:D,4,0)</f>
        <v>290</v>
      </c>
      <c r="G15" s="102">
        <f t="shared" si="0"/>
        <v>870</v>
      </c>
    </row>
    <row r="16" spans="1:9" ht="15" customHeight="1">
      <c r="A16" s="136">
        <v>9</v>
      </c>
      <c r="B16" s="100" t="s">
        <v>778</v>
      </c>
      <c r="C16" s="105">
        <v>7130610206</v>
      </c>
      <c r="D16" s="130" t="s">
        <v>32</v>
      </c>
      <c r="E16" s="103">
        <v>17</v>
      </c>
      <c r="F16" s="102">
        <f>VLOOKUP(C16,'SOR RATE'!A:D,4,0)/1000</f>
        <v>66.528</v>
      </c>
      <c r="G16" s="102">
        <f t="shared" si="0"/>
        <v>1130.976</v>
      </c>
      <c r="H16" s="759"/>
      <c r="I16" s="30"/>
    </row>
    <row r="17" spans="1:7" ht="15" customHeight="1">
      <c r="A17" s="136">
        <v>10</v>
      </c>
      <c r="B17" s="104" t="s">
        <v>772</v>
      </c>
      <c r="C17" s="176">
        <v>7130880041</v>
      </c>
      <c r="D17" s="130" t="s">
        <v>26</v>
      </c>
      <c r="E17" s="103">
        <v>17</v>
      </c>
      <c r="F17" s="102">
        <f>VLOOKUP(C17,'SOR RATE'!A:D,4,0)</f>
        <v>74</v>
      </c>
      <c r="G17" s="102">
        <f t="shared" si="0"/>
        <v>1258</v>
      </c>
    </row>
    <row r="18" spans="1:7" ht="15" customHeight="1">
      <c r="A18" s="136">
        <v>11</v>
      </c>
      <c r="B18" s="104" t="s">
        <v>1132</v>
      </c>
      <c r="C18" s="176">
        <v>7130830006</v>
      </c>
      <c r="D18" s="130" t="s">
        <v>32</v>
      </c>
      <c r="E18" s="103">
        <v>5</v>
      </c>
      <c r="F18" s="102">
        <f>VLOOKUP(C18,'SOR RATE'!A:D,4,0)</f>
        <v>139</v>
      </c>
      <c r="G18" s="102">
        <f t="shared" si="0"/>
        <v>695</v>
      </c>
    </row>
    <row r="19" spans="1:7" ht="15" customHeight="1">
      <c r="A19" s="873">
        <v>12</v>
      </c>
      <c r="B19" s="104" t="s">
        <v>1133</v>
      </c>
      <c r="C19" s="319"/>
      <c r="D19" s="168"/>
      <c r="E19" s="168"/>
      <c r="F19" s="168"/>
      <c r="G19" s="169"/>
    </row>
    <row r="20" spans="1:7" ht="15" customHeight="1">
      <c r="A20" s="874"/>
      <c r="B20" s="104" t="s">
        <v>193</v>
      </c>
      <c r="C20" s="176">
        <v>7130620619</v>
      </c>
      <c r="D20" s="262" t="s">
        <v>32</v>
      </c>
      <c r="E20" s="103">
        <v>2</v>
      </c>
      <c r="F20" s="102">
        <f>VLOOKUP(C20,'SOR RATE'!A:D,4,0)</f>
        <v>63</v>
      </c>
      <c r="G20" s="102">
        <f>F20*E20</f>
        <v>126</v>
      </c>
    </row>
    <row r="21" spans="1:7" ht="15" customHeight="1">
      <c r="A21" s="875"/>
      <c r="B21" s="104" t="s">
        <v>195</v>
      </c>
      <c r="C21" s="176">
        <v>7130620627</v>
      </c>
      <c r="D21" s="262" t="s">
        <v>32</v>
      </c>
      <c r="E21" s="103">
        <v>17</v>
      </c>
      <c r="F21" s="102">
        <f>VLOOKUP(C21,'SOR RATE'!A:D,4,0)</f>
        <v>62</v>
      </c>
      <c r="G21" s="102">
        <f>F21*E21</f>
        <v>1054</v>
      </c>
    </row>
    <row r="22" spans="1:7" ht="15" customHeight="1">
      <c r="A22" s="873">
        <v>13</v>
      </c>
      <c r="B22" s="104" t="s">
        <v>774</v>
      </c>
      <c r="C22" s="319"/>
      <c r="D22" s="168"/>
      <c r="E22" s="168"/>
      <c r="F22" s="168"/>
      <c r="G22" s="169"/>
    </row>
    <row r="23" spans="1:9" ht="15" customHeight="1">
      <c r="A23" s="874"/>
      <c r="B23" s="104" t="s">
        <v>1134</v>
      </c>
      <c r="C23" s="176">
        <v>7130810511</v>
      </c>
      <c r="D23" s="130" t="s">
        <v>26</v>
      </c>
      <c r="E23" s="103">
        <v>1</v>
      </c>
      <c r="F23" s="102">
        <f>VLOOKUP(C23,'SOR RATE'!A:D,4,0)</f>
        <v>2485</v>
      </c>
      <c r="G23" s="102">
        <f aca="true" t="shared" si="1" ref="G23:G28">F23*E23</f>
        <v>2485</v>
      </c>
      <c r="I23" s="31"/>
    </row>
    <row r="24" spans="1:7" ht="15" customHeight="1">
      <c r="A24" s="874"/>
      <c r="B24" s="104" t="s">
        <v>190</v>
      </c>
      <c r="C24" s="176">
        <v>7130870043</v>
      </c>
      <c r="D24" s="130" t="s">
        <v>32</v>
      </c>
      <c r="E24" s="103">
        <v>35</v>
      </c>
      <c r="F24" s="102">
        <f>VLOOKUP(C24,'SOR RATE'!A:D,4,0)/1000</f>
        <v>55.094</v>
      </c>
      <c r="G24" s="102">
        <f t="shared" si="1"/>
        <v>1928.29</v>
      </c>
    </row>
    <row r="25" spans="1:13" ht="15" customHeight="1">
      <c r="A25" s="874"/>
      <c r="B25" s="104" t="s">
        <v>1135</v>
      </c>
      <c r="C25" s="224">
        <v>7130810026</v>
      </c>
      <c r="D25" s="130" t="s">
        <v>26</v>
      </c>
      <c r="E25" s="103">
        <v>2</v>
      </c>
      <c r="F25" s="102">
        <f>VLOOKUP(C25,'SOR RATE'!A190:D190,4,0)</f>
        <v>265</v>
      </c>
      <c r="G25" s="102">
        <f t="shared" si="1"/>
        <v>530</v>
      </c>
      <c r="I25" s="57"/>
      <c r="J25" s="619"/>
      <c r="K25" s="50"/>
      <c r="L25" s="50"/>
      <c r="M25" s="49"/>
    </row>
    <row r="26" spans="1:7" ht="15" customHeight="1">
      <c r="A26" s="874"/>
      <c r="B26" s="104" t="s">
        <v>1136</v>
      </c>
      <c r="C26" s="176">
        <v>7130860077</v>
      </c>
      <c r="D26" s="196" t="s">
        <v>32</v>
      </c>
      <c r="E26" s="103">
        <v>11</v>
      </c>
      <c r="F26" s="102">
        <f>VLOOKUP(C26,'SOR RATE'!A:D,4,0)/1000</f>
        <v>61.6</v>
      </c>
      <c r="G26" s="102">
        <f t="shared" si="1"/>
        <v>677.6</v>
      </c>
    </row>
    <row r="27" spans="1:7" ht="15" customHeight="1">
      <c r="A27" s="874"/>
      <c r="B27" s="104" t="s">
        <v>1137</v>
      </c>
      <c r="C27" s="176">
        <v>7130860032</v>
      </c>
      <c r="D27" s="130" t="s">
        <v>26</v>
      </c>
      <c r="E27" s="103">
        <v>2</v>
      </c>
      <c r="F27" s="102">
        <f>VLOOKUP(C27,'SOR RATE'!A:D,4,0)</f>
        <v>387</v>
      </c>
      <c r="G27" s="102">
        <f t="shared" si="1"/>
        <v>774</v>
      </c>
    </row>
    <row r="28" spans="1:7" ht="15" customHeight="1">
      <c r="A28" s="875"/>
      <c r="B28" s="104" t="s">
        <v>1138</v>
      </c>
      <c r="C28" s="176">
        <v>7130620013</v>
      </c>
      <c r="D28" s="198" t="s">
        <v>26</v>
      </c>
      <c r="E28" s="103">
        <v>4</v>
      </c>
      <c r="F28" s="102">
        <f>VLOOKUP(C28,'SOR RATE'!A:D,4,0)</f>
        <v>118</v>
      </c>
      <c r="G28" s="102">
        <f t="shared" si="1"/>
        <v>472</v>
      </c>
    </row>
    <row r="29" spans="1:7" ht="14.25" customHeight="1">
      <c r="A29" s="873">
        <v>14</v>
      </c>
      <c r="B29" s="104" t="s">
        <v>1139</v>
      </c>
      <c r="C29" s="103"/>
      <c r="D29" s="103" t="s">
        <v>28</v>
      </c>
      <c r="E29" s="103"/>
      <c r="F29" s="102"/>
      <c r="G29" s="102"/>
    </row>
    <row r="30" spans="1:7" ht="12.75">
      <c r="A30" s="875"/>
      <c r="B30" s="104" t="s">
        <v>1140</v>
      </c>
      <c r="C30" s="210">
        <v>7130200401</v>
      </c>
      <c r="D30" s="620" t="s">
        <v>32</v>
      </c>
      <c r="E30" s="103">
        <f>208*0.5</f>
        <v>104</v>
      </c>
      <c r="F30" s="102">
        <f>VLOOKUP(C30,'SOR RATE'!A:D,4,0)/50</f>
        <v>5.36</v>
      </c>
      <c r="G30" s="102">
        <f>F30*E30</f>
        <v>557.44</v>
      </c>
    </row>
    <row r="31" spans="1:9" ht="12.75">
      <c r="A31" s="40">
        <v>15</v>
      </c>
      <c r="B31" s="107" t="s">
        <v>937</v>
      </c>
      <c r="C31" s="40"/>
      <c r="D31" s="103"/>
      <c r="E31" s="103"/>
      <c r="F31" s="103"/>
      <c r="G31" s="41">
        <f>SUM(G8:G30)</f>
        <v>47279.306000000004</v>
      </c>
      <c r="H31" s="193"/>
      <c r="I31" s="194"/>
    </row>
    <row r="32" spans="1:9" ht="13.5" customHeight="1">
      <c r="A32" s="318">
        <v>16</v>
      </c>
      <c r="B32" s="100" t="s">
        <v>936</v>
      </c>
      <c r="C32" s="319"/>
      <c r="D32" s="168"/>
      <c r="E32" s="168"/>
      <c r="F32" s="103">
        <v>0.09</v>
      </c>
      <c r="G32" s="102">
        <f>G31*F32</f>
        <v>4255.137540000001</v>
      </c>
      <c r="H32" s="193"/>
      <c r="I32" s="194"/>
    </row>
    <row r="33" spans="1:7" ht="14.25" customHeight="1">
      <c r="A33" s="136">
        <v>17</v>
      </c>
      <c r="B33" s="104" t="s">
        <v>1141</v>
      </c>
      <c r="C33" s="103"/>
      <c r="D33" s="103" t="s">
        <v>26</v>
      </c>
      <c r="E33" s="103">
        <v>1</v>
      </c>
      <c r="F33" s="102">
        <f>132*1.11*1.086275*1.1112*1.0685</f>
        <v>188.97460830432362</v>
      </c>
      <c r="G33" s="102">
        <f>F33*E33</f>
        <v>188.97460830432362</v>
      </c>
    </row>
    <row r="34" spans="1:7" ht="12.75">
      <c r="A34" s="136">
        <v>18</v>
      </c>
      <c r="B34" s="104" t="s">
        <v>756</v>
      </c>
      <c r="C34" s="103"/>
      <c r="D34" s="103" t="s">
        <v>28</v>
      </c>
      <c r="E34" s="103">
        <v>0.5</v>
      </c>
      <c r="F34" s="102">
        <f>1664*1.27*1.0891*1.086275*1.1112*1.0685</f>
        <v>2968.460981603261</v>
      </c>
      <c r="G34" s="102">
        <f>F34*E34</f>
        <v>1484.2304908016306</v>
      </c>
    </row>
    <row r="35" spans="1:8" ht="15.75" customHeight="1">
      <c r="A35" s="136">
        <v>19</v>
      </c>
      <c r="B35" s="104" t="s">
        <v>1142</v>
      </c>
      <c r="C35" s="103"/>
      <c r="D35" s="103"/>
      <c r="E35" s="103"/>
      <c r="F35" s="103"/>
      <c r="G35" s="102">
        <v>23211.31</v>
      </c>
      <c r="H35" s="149"/>
    </row>
    <row r="36" spans="1:7" ht="27.75" customHeight="1">
      <c r="A36" s="136">
        <v>20</v>
      </c>
      <c r="B36" s="104" t="s">
        <v>757</v>
      </c>
      <c r="C36" s="103"/>
      <c r="D36" s="103"/>
      <c r="E36" s="103"/>
      <c r="F36" s="103"/>
      <c r="G36" s="102">
        <f>1.1*2000*1.2*1.1*1.1797*1.1402*0.9368</f>
        <v>3659.283944688769</v>
      </c>
    </row>
    <row r="37" spans="1:8" ht="12.75">
      <c r="A37" s="40">
        <v>21</v>
      </c>
      <c r="B37" s="107" t="s">
        <v>938</v>
      </c>
      <c r="C37" s="103"/>
      <c r="D37" s="103"/>
      <c r="E37" s="103"/>
      <c r="F37" s="103"/>
      <c r="G37" s="41">
        <f>G31+G32+G33+G34+G35+G36</f>
        <v>80078.24258379472</v>
      </c>
      <c r="H37" s="195"/>
    </row>
    <row r="38" spans="1:8" ht="26.25" customHeight="1">
      <c r="A38" s="136">
        <v>22</v>
      </c>
      <c r="B38" s="100" t="s">
        <v>939</v>
      </c>
      <c r="C38" s="103"/>
      <c r="D38" s="103"/>
      <c r="E38" s="103"/>
      <c r="F38" s="103">
        <v>0.11</v>
      </c>
      <c r="G38" s="102">
        <f>G31*F38</f>
        <v>5200.723660000001</v>
      </c>
      <c r="H38" s="195"/>
    </row>
    <row r="39" spans="1:9" s="17" customFormat="1" ht="12.75">
      <c r="A39" s="136">
        <v>23</v>
      </c>
      <c r="B39" s="134" t="s">
        <v>1143</v>
      </c>
      <c r="C39" s="136"/>
      <c r="D39" s="136"/>
      <c r="E39" s="136"/>
      <c r="F39" s="136"/>
      <c r="G39" s="109">
        <f>G37+G38</f>
        <v>85278.96624379473</v>
      </c>
      <c r="I39" s="211"/>
    </row>
    <row r="40" spans="1:7" ht="15.75" customHeight="1">
      <c r="A40" s="40">
        <v>24</v>
      </c>
      <c r="B40" s="108" t="s">
        <v>1144</v>
      </c>
      <c r="C40" s="103"/>
      <c r="D40" s="103"/>
      <c r="E40" s="103"/>
      <c r="F40" s="103"/>
      <c r="G40" s="41">
        <f>ROUND(G39,0)</f>
        <v>85279</v>
      </c>
    </row>
    <row r="41" spans="1:7" ht="12.75">
      <c r="A41" s="229"/>
      <c r="B41" s="173"/>
      <c r="C41" s="50"/>
      <c r="D41" s="325"/>
      <c r="E41" s="325"/>
      <c r="F41" s="325"/>
      <c r="G41" s="230"/>
    </row>
    <row r="42" spans="1:7" ht="14.25" customHeight="1">
      <c r="A42" s="296" t="s">
        <v>127</v>
      </c>
      <c r="B42" s="872" t="s">
        <v>1145</v>
      </c>
      <c r="C42" s="872"/>
      <c r="D42" s="872"/>
      <c r="E42" s="872"/>
      <c r="F42" s="68"/>
      <c r="G42" s="68"/>
    </row>
    <row r="43" spans="2:5" ht="29.25" customHeight="1">
      <c r="B43" s="872" t="s">
        <v>845</v>
      </c>
      <c r="C43" s="872"/>
      <c r="D43" s="872"/>
      <c r="E43" s="872"/>
    </row>
    <row r="62" spans="2:3" ht="15.75">
      <c r="B62" s="854" t="s">
        <v>1040</v>
      </c>
      <c r="C62" s="854"/>
    </row>
    <row r="64" spans="2:4" ht="12.75">
      <c r="B64" s="734" t="s">
        <v>49</v>
      </c>
      <c r="C64" s="735">
        <v>7130820155</v>
      </c>
      <c r="D64" s="736" t="s">
        <v>26</v>
      </c>
    </row>
  </sheetData>
  <sheetProtection/>
  <mergeCells count="10">
    <mergeCell ref="B62:C62"/>
    <mergeCell ref="A19:A21"/>
    <mergeCell ref="A22:A28"/>
    <mergeCell ref="A29:A30"/>
    <mergeCell ref="F5:G5"/>
    <mergeCell ref="B42:E42"/>
    <mergeCell ref="B43:E43"/>
    <mergeCell ref="B1:C1"/>
    <mergeCell ref="B3:D3"/>
    <mergeCell ref="I12:J12"/>
  </mergeCells>
  <printOptions horizontalCentered="1"/>
  <pageMargins left="1" right="0.15" top="0.92" bottom="0.3" header="0.48" footer="0.16"/>
  <pageSetup horizontalDpi="600" verticalDpi="600" orientation="landscape" paperSize="9" scale="12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O37"/>
  <sheetViews>
    <sheetView zoomScale="115" zoomScaleNormal="11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140625" style="23" customWidth="1"/>
    <col min="2" max="2" width="36.7109375" style="2" customWidth="1"/>
    <col min="3" max="3" width="12.140625" style="2" customWidth="1"/>
    <col min="4" max="4" width="4.57421875" style="2" bestFit="1" customWidth="1"/>
    <col min="5" max="5" width="7.28125" style="2" bestFit="1" customWidth="1"/>
    <col min="6" max="6" width="5.00390625" style="2" bestFit="1" customWidth="1"/>
    <col min="7" max="7" width="9.57421875" style="2" bestFit="1" customWidth="1"/>
    <col min="8" max="8" width="5.00390625" style="2" bestFit="1" customWidth="1"/>
    <col min="9" max="9" width="10.7109375" style="2" bestFit="1" customWidth="1"/>
    <col min="10" max="10" width="5.00390625" style="2" bestFit="1" customWidth="1"/>
    <col min="11" max="11" width="9.57421875" style="2" bestFit="1" customWidth="1"/>
    <col min="12" max="12" width="5.00390625" style="2" bestFit="1" customWidth="1"/>
    <col min="13" max="13" width="10.7109375" style="2" bestFit="1" customWidth="1"/>
    <col min="14" max="14" width="10.7109375" style="2" customWidth="1"/>
    <col min="15" max="15" width="25.140625" style="2" customWidth="1"/>
    <col min="16" max="16" width="11.00390625" style="2" bestFit="1" customWidth="1"/>
    <col min="17" max="17" width="3.28125" style="2" bestFit="1" customWidth="1"/>
    <col min="18" max="18" width="4.00390625" style="2" bestFit="1" customWidth="1"/>
    <col min="19" max="16384" width="9.140625" style="2" customWidth="1"/>
  </cols>
  <sheetData>
    <row r="1" spans="2:13" ht="16.5" customHeight="1">
      <c r="B1" s="390"/>
      <c r="C1" s="862" t="s">
        <v>846</v>
      </c>
      <c r="D1" s="862"/>
      <c r="E1" s="862"/>
      <c r="F1" s="862"/>
      <c r="G1" s="862"/>
      <c r="H1" s="862"/>
      <c r="I1" s="390"/>
      <c r="J1" s="390"/>
      <c r="K1" s="390"/>
      <c r="L1" s="390"/>
      <c r="M1" s="390"/>
    </row>
    <row r="2" spans="1:13" ht="13.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841" t="s">
        <v>1003</v>
      </c>
      <c r="M2" s="841"/>
    </row>
    <row r="3" spans="1:13" ht="15.75">
      <c r="A3" s="863" t="s">
        <v>847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</row>
    <row r="4" spans="1:13" ht="10.5" customHeight="1">
      <c r="A4" s="220"/>
      <c r="B4" s="16"/>
      <c r="C4" s="16"/>
      <c r="D4" s="16"/>
      <c r="E4" s="16"/>
      <c r="F4" s="16"/>
      <c r="G4" s="16"/>
      <c r="H4" s="56"/>
      <c r="I4" s="56"/>
      <c r="J4" s="56"/>
      <c r="K4" s="56"/>
      <c r="L4" s="22"/>
      <c r="M4" s="22"/>
    </row>
    <row r="5" spans="1:13" ht="51.75" customHeight="1">
      <c r="A5" s="813" t="s">
        <v>191</v>
      </c>
      <c r="B5" s="813" t="s">
        <v>23</v>
      </c>
      <c r="C5" s="813" t="s">
        <v>279</v>
      </c>
      <c r="D5" s="813" t="s">
        <v>24</v>
      </c>
      <c r="E5" s="813" t="s">
        <v>80</v>
      </c>
      <c r="F5" s="813" t="s">
        <v>280</v>
      </c>
      <c r="G5" s="813"/>
      <c r="H5" s="813" t="s">
        <v>281</v>
      </c>
      <c r="I5" s="813"/>
      <c r="J5" s="813" t="s">
        <v>282</v>
      </c>
      <c r="K5" s="813"/>
      <c r="L5" s="813" t="s">
        <v>283</v>
      </c>
      <c r="M5" s="813"/>
    </row>
    <row r="6" spans="1:13" ht="12.75">
      <c r="A6" s="813"/>
      <c r="B6" s="813"/>
      <c r="C6" s="813"/>
      <c r="D6" s="813"/>
      <c r="E6" s="813"/>
      <c r="F6" s="40" t="s">
        <v>178</v>
      </c>
      <c r="G6" s="40" t="s">
        <v>1011</v>
      </c>
      <c r="H6" s="40" t="s">
        <v>178</v>
      </c>
      <c r="I6" s="40" t="s">
        <v>1011</v>
      </c>
      <c r="J6" s="40" t="s">
        <v>178</v>
      </c>
      <c r="K6" s="40" t="s">
        <v>1011</v>
      </c>
      <c r="L6" s="40" t="s">
        <v>178</v>
      </c>
      <c r="M6" s="40" t="s">
        <v>1011</v>
      </c>
    </row>
    <row r="7" spans="1:13" ht="11.2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</row>
    <row r="8" spans="1:13" ht="12.75">
      <c r="A8" s="136">
        <v>1</v>
      </c>
      <c r="B8" s="104" t="s">
        <v>416</v>
      </c>
      <c r="C8" s="178">
        <v>7130810413</v>
      </c>
      <c r="D8" s="132" t="s">
        <v>26</v>
      </c>
      <c r="E8" s="102">
        <f>VLOOKUP(C8,'SOR RATE'!A:D,4,0)</f>
        <v>618</v>
      </c>
      <c r="F8" s="103">
        <v>24</v>
      </c>
      <c r="G8" s="102">
        <f>E8*F8</f>
        <v>14832</v>
      </c>
      <c r="H8" s="103"/>
      <c r="I8" s="102"/>
      <c r="J8" s="103"/>
      <c r="K8" s="102"/>
      <c r="L8" s="103"/>
      <c r="M8" s="102"/>
    </row>
    <row r="9" spans="1:13" ht="12.75">
      <c r="A9" s="136">
        <v>2</v>
      </c>
      <c r="B9" s="104" t="s">
        <v>405</v>
      </c>
      <c r="C9" s="178">
        <v>7130810441</v>
      </c>
      <c r="D9" s="132" t="s">
        <v>26</v>
      </c>
      <c r="E9" s="102">
        <f>VLOOKUP(C9,'SOR RATE'!A:D,4,0)</f>
        <v>736</v>
      </c>
      <c r="F9" s="103"/>
      <c r="G9" s="102"/>
      <c r="H9" s="103">
        <v>24</v>
      </c>
      <c r="I9" s="102">
        <f aca="true" t="shared" si="0" ref="I9:I23">H9*E9</f>
        <v>17664</v>
      </c>
      <c r="J9" s="103">
        <v>24</v>
      </c>
      <c r="K9" s="102">
        <f aca="true" t="shared" si="1" ref="K9:K23">J9*E9</f>
        <v>17664</v>
      </c>
      <c r="L9" s="103"/>
      <c r="M9" s="102"/>
    </row>
    <row r="10" spans="1:13" ht="12.75">
      <c r="A10" s="136">
        <v>3</v>
      </c>
      <c r="B10" s="104" t="s">
        <v>284</v>
      </c>
      <c r="C10" s="210">
        <v>7130810461</v>
      </c>
      <c r="D10" s="617" t="s">
        <v>26</v>
      </c>
      <c r="E10" s="102">
        <f>VLOOKUP(C10,'SOR RATE'!A:D,4,0)</f>
        <v>854</v>
      </c>
      <c r="F10" s="103"/>
      <c r="G10" s="102"/>
      <c r="H10" s="103"/>
      <c r="I10" s="102"/>
      <c r="J10" s="103"/>
      <c r="K10" s="102"/>
      <c r="L10" s="103">
        <v>24</v>
      </c>
      <c r="M10" s="102">
        <f aca="true" t="shared" si="2" ref="M10:M23">L10*E10</f>
        <v>20496</v>
      </c>
    </row>
    <row r="11" spans="1:13" ht="12.75">
      <c r="A11" s="136">
        <v>4</v>
      </c>
      <c r="B11" s="104" t="s">
        <v>406</v>
      </c>
      <c r="C11" s="210">
        <v>7130820106</v>
      </c>
      <c r="D11" s="620" t="s">
        <v>26</v>
      </c>
      <c r="E11" s="102">
        <f>VLOOKUP(C11,'SOR RATE'!A:D,4,0)</f>
        <v>10</v>
      </c>
      <c r="F11" s="103">
        <v>24</v>
      </c>
      <c r="G11" s="102">
        <f aca="true" t="shared" si="3" ref="G11:G23">E11*F11</f>
        <v>240</v>
      </c>
      <c r="H11" s="103">
        <v>48</v>
      </c>
      <c r="I11" s="102">
        <f t="shared" si="0"/>
        <v>480</v>
      </c>
      <c r="J11" s="103">
        <v>24</v>
      </c>
      <c r="K11" s="102">
        <f t="shared" si="1"/>
        <v>240</v>
      </c>
      <c r="L11" s="103">
        <v>48</v>
      </c>
      <c r="M11" s="102">
        <f t="shared" si="2"/>
        <v>480</v>
      </c>
    </row>
    <row r="12" spans="1:13" ht="15" customHeight="1">
      <c r="A12" s="136">
        <v>5</v>
      </c>
      <c r="B12" s="104" t="s">
        <v>285</v>
      </c>
      <c r="C12" s="210">
        <v>7130820216</v>
      </c>
      <c r="D12" s="617" t="s">
        <v>26</v>
      </c>
      <c r="E12" s="102">
        <f>VLOOKUP(C12,'SOR RATE'!A:D,4,0)</f>
        <v>34</v>
      </c>
      <c r="F12" s="103">
        <v>8</v>
      </c>
      <c r="G12" s="102">
        <f t="shared" si="3"/>
        <v>272</v>
      </c>
      <c r="H12" s="103">
        <v>16</v>
      </c>
      <c r="I12" s="102">
        <f t="shared" si="0"/>
        <v>544</v>
      </c>
      <c r="J12" s="103">
        <v>8</v>
      </c>
      <c r="K12" s="102">
        <f t="shared" si="1"/>
        <v>272</v>
      </c>
      <c r="L12" s="103">
        <v>16</v>
      </c>
      <c r="M12" s="102">
        <f t="shared" si="2"/>
        <v>544</v>
      </c>
    </row>
    <row r="13" spans="1:13" ht="15" customHeight="1">
      <c r="A13" s="136">
        <v>6</v>
      </c>
      <c r="B13" s="104" t="s">
        <v>286</v>
      </c>
      <c r="C13" s="105">
        <v>7130830057</v>
      </c>
      <c r="D13" s="109" t="s">
        <v>307</v>
      </c>
      <c r="E13" s="102">
        <f>VLOOKUP(C13,'SOR RATE'!A:D,4,0)/1000</f>
        <v>33.544</v>
      </c>
      <c r="F13" s="103">
        <v>1030</v>
      </c>
      <c r="G13" s="102">
        <f t="shared" si="3"/>
        <v>34550.32</v>
      </c>
      <c r="H13" s="103">
        <v>2060</v>
      </c>
      <c r="I13" s="102">
        <f t="shared" si="0"/>
        <v>69100.64</v>
      </c>
      <c r="J13" s="103">
        <v>1030</v>
      </c>
      <c r="K13" s="102">
        <f t="shared" si="1"/>
        <v>34550.32</v>
      </c>
      <c r="L13" s="103">
        <v>2060</v>
      </c>
      <c r="M13" s="102">
        <f t="shared" si="2"/>
        <v>69100.64</v>
      </c>
    </row>
    <row r="14" spans="1:13" ht="12.75">
      <c r="A14" s="136">
        <v>7</v>
      </c>
      <c r="B14" s="104" t="s">
        <v>1329</v>
      </c>
      <c r="C14" s="210">
        <v>7130820018</v>
      </c>
      <c r="D14" s="617" t="s">
        <v>1009</v>
      </c>
      <c r="E14" s="102">
        <f>VLOOKUP(C14,'SOR RATE'!A:D,4,0)</f>
        <v>3</v>
      </c>
      <c r="F14" s="103">
        <v>40</v>
      </c>
      <c r="G14" s="102">
        <f t="shared" si="3"/>
        <v>120</v>
      </c>
      <c r="H14" s="103">
        <v>40</v>
      </c>
      <c r="I14" s="102">
        <f t="shared" si="0"/>
        <v>120</v>
      </c>
      <c r="J14" s="103">
        <v>40</v>
      </c>
      <c r="K14" s="102">
        <f t="shared" si="1"/>
        <v>120</v>
      </c>
      <c r="L14" s="103">
        <v>40</v>
      </c>
      <c r="M14" s="102">
        <f t="shared" si="2"/>
        <v>120</v>
      </c>
    </row>
    <row r="15" spans="1:13" ht="12.75">
      <c r="A15" s="873">
        <v>8</v>
      </c>
      <c r="B15" s="104" t="s">
        <v>287</v>
      </c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621"/>
    </row>
    <row r="16" spans="1:13" ht="12.75">
      <c r="A16" s="874"/>
      <c r="B16" s="104" t="s">
        <v>1333</v>
      </c>
      <c r="C16" s="210">
        <v>7130620573</v>
      </c>
      <c r="D16" s="622" t="s">
        <v>32</v>
      </c>
      <c r="E16" s="102">
        <f>VLOOKUP(C16,'SOR RATE'!A:D,4,0)</f>
        <v>64</v>
      </c>
      <c r="F16" s="103">
        <v>4</v>
      </c>
      <c r="G16" s="102">
        <f t="shared" si="3"/>
        <v>256</v>
      </c>
      <c r="H16" s="103">
        <v>8</v>
      </c>
      <c r="I16" s="102">
        <f t="shared" si="0"/>
        <v>512</v>
      </c>
      <c r="J16" s="103">
        <v>4</v>
      </c>
      <c r="K16" s="102">
        <f t="shared" si="1"/>
        <v>256</v>
      </c>
      <c r="L16" s="103">
        <v>8</v>
      </c>
      <c r="M16" s="102">
        <f t="shared" si="2"/>
        <v>512</v>
      </c>
    </row>
    <row r="17" spans="1:13" ht="12.75">
      <c r="A17" s="874"/>
      <c r="B17" s="104" t="s">
        <v>1017</v>
      </c>
      <c r="C17" s="210">
        <v>7130620609</v>
      </c>
      <c r="D17" s="622" t="s">
        <v>32</v>
      </c>
      <c r="E17" s="102">
        <f>VLOOKUP(C17,'SOR RATE'!A:D,4,0)</f>
        <v>64</v>
      </c>
      <c r="F17" s="103">
        <v>4</v>
      </c>
      <c r="G17" s="102">
        <f t="shared" si="3"/>
        <v>256</v>
      </c>
      <c r="H17" s="103">
        <v>6</v>
      </c>
      <c r="I17" s="102">
        <f t="shared" si="0"/>
        <v>384</v>
      </c>
      <c r="J17" s="103">
        <v>4</v>
      </c>
      <c r="K17" s="102">
        <f t="shared" si="1"/>
        <v>256</v>
      </c>
      <c r="L17" s="103">
        <v>6</v>
      </c>
      <c r="M17" s="102">
        <f t="shared" si="2"/>
        <v>384</v>
      </c>
    </row>
    <row r="18" spans="1:13" ht="12.75">
      <c r="A18" s="874"/>
      <c r="B18" s="104" t="s">
        <v>194</v>
      </c>
      <c r="C18" s="210">
        <v>7130620625</v>
      </c>
      <c r="D18" s="622" t="s">
        <v>32</v>
      </c>
      <c r="E18" s="102">
        <f>VLOOKUP(C18,'SOR RATE'!A:D,4,0)</f>
        <v>62</v>
      </c>
      <c r="F18" s="103">
        <v>10</v>
      </c>
      <c r="G18" s="102">
        <f t="shared" si="3"/>
        <v>620</v>
      </c>
      <c r="H18" s="103">
        <v>10</v>
      </c>
      <c r="I18" s="102">
        <f t="shared" si="0"/>
        <v>620</v>
      </c>
      <c r="J18" s="103">
        <v>10</v>
      </c>
      <c r="K18" s="102">
        <f t="shared" si="1"/>
        <v>620</v>
      </c>
      <c r="L18" s="103">
        <v>10</v>
      </c>
      <c r="M18" s="102">
        <f t="shared" si="2"/>
        <v>620</v>
      </c>
    </row>
    <row r="19" spans="1:13" ht="12.75">
      <c r="A19" s="875"/>
      <c r="B19" s="104" t="s">
        <v>192</v>
      </c>
      <c r="C19" s="260">
        <v>7130620614</v>
      </c>
      <c r="D19" s="622" t="s">
        <v>32</v>
      </c>
      <c r="E19" s="102">
        <f>VLOOKUP(C19,'SOR RATE'!A:D,4,0)</f>
        <v>63</v>
      </c>
      <c r="F19" s="103">
        <v>6</v>
      </c>
      <c r="G19" s="102">
        <f t="shared" si="3"/>
        <v>378</v>
      </c>
      <c r="H19" s="103">
        <v>6</v>
      </c>
      <c r="I19" s="102">
        <f t="shared" si="0"/>
        <v>378</v>
      </c>
      <c r="J19" s="103">
        <v>6</v>
      </c>
      <c r="K19" s="102">
        <f t="shared" si="1"/>
        <v>378</v>
      </c>
      <c r="L19" s="103">
        <v>6</v>
      </c>
      <c r="M19" s="102">
        <f t="shared" si="2"/>
        <v>378</v>
      </c>
    </row>
    <row r="20" spans="1:13" ht="12.75">
      <c r="A20" s="103">
        <v>9</v>
      </c>
      <c r="B20" s="104" t="s">
        <v>754</v>
      </c>
      <c r="C20" s="210">
        <v>7130211158</v>
      </c>
      <c r="D20" s="617" t="s">
        <v>30</v>
      </c>
      <c r="E20" s="102">
        <f>VLOOKUP(C20,'SOR RATE'!A:D,4,0)</f>
        <v>130</v>
      </c>
      <c r="F20" s="103">
        <v>1</v>
      </c>
      <c r="G20" s="102">
        <f t="shared" si="3"/>
        <v>130</v>
      </c>
      <c r="H20" s="103">
        <v>1</v>
      </c>
      <c r="I20" s="102">
        <f t="shared" si="0"/>
        <v>130</v>
      </c>
      <c r="J20" s="103">
        <v>1</v>
      </c>
      <c r="K20" s="102">
        <f t="shared" si="1"/>
        <v>130</v>
      </c>
      <c r="L20" s="103">
        <v>1</v>
      </c>
      <c r="M20" s="102">
        <f t="shared" si="2"/>
        <v>130</v>
      </c>
    </row>
    <row r="21" spans="1:13" ht="12.75">
      <c r="A21" s="103">
        <v>10</v>
      </c>
      <c r="B21" s="104" t="s">
        <v>648</v>
      </c>
      <c r="C21" s="210">
        <v>7130210809</v>
      </c>
      <c r="D21" s="617" t="s">
        <v>30</v>
      </c>
      <c r="E21" s="102">
        <f>VLOOKUP(C21,'SOR RATE'!A:D,4,0)</f>
        <v>290</v>
      </c>
      <c r="F21" s="103">
        <v>1</v>
      </c>
      <c r="G21" s="102">
        <f t="shared" si="3"/>
        <v>290</v>
      </c>
      <c r="H21" s="103">
        <v>1</v>
      </c>
      <c r="I21" s="102">
        <f t="shared" si="0"/>
        <v>290</v>
      </c>
      <c r="J21" s="103">
        <v>1</v>
      </c>
      <c r="K21" s="102">
        <f t="shared" si="1"/>
        <v>290</v>
      </c>
      <c r="L21" s="103">
        <v>1</v>
      </c>
      <c r="M21" s="102">
        <f t="shared" si="2"/>
        <v>290</v>
      </c>
    </row>
    <row r="22" spans="1:13" ht="12.75">
      <c r="A22" s="103">
        <v>11</v>
      </c>
      <c r="B22" s="104" t="s">
        <v>236</v>
      </c>
      <c r="C22" s="210">
        <v>7130870043</v>
      </c>
      <c r="D22" s="617" t="s">
        <v>32</v>
      </c>
      <c r="E22" s="102">
        <f>VLOOKUP(C22,'SOR RATE'!A:D,4,0)/1000</f>
        <v>55.094</v>
      </c>
      <c r="F22" s="103">
        <v>6</v>
      </c>
      <c r="G22" s="102">
        <f t="shared" si="3"/>
        <v>330.564</v>
      </c>
      <c r="H22" s="103">
        <v>7.5</v>
      </c>
      <c r="I22" s="102">
        <f t="shared" si="0"/>
        <v>413.205</v>
      </c>
      <c r="J22" s="103">
        <v>7.5</v>
      </c>
      <c r="K22" s="102">
        <f t="shared" si="1"/>
        <v>413.205</v>
      </c>
      <c r="L22" s="103">
        <v>7.5</v>
      </c>
      <c r="M22" s="102">
        <f t="shared" si="2"/>
        <v>413.205</v>
      </c>
    </row>
    <row r="23" spans="1:13" ht="27.75" customHeight="1">
      <c r="A23" s="103">
        <v>12</v>
      </c>
      <c r="B23" s="104" t="s">
        <v>288</v>
      </c>
      <c r="C23" s="105">
        <v>7130810216</v>
      </c>
      <c r="D23" s="101" t="s">
        <v>26</v>
      </c>
      <c r="E23" s="102">
        <f>VLOOKUP(C23,'SOR RATE'!A:D,4,0)</f>
        <v>282</v>
      </c>
      <c r="F23" s="103">
        <v>20</v>
      </c>
      <c r="G23" s="102">
        <f t="shared" si="3"/>
        <v>5640</v>
      </c>
      <c r="H23" s="103">
        <v>20</v>
      </c>
      <c r="I23" s="102">
        <f t="shared" si="0"/>
        <v>5640</v>
      </c>
      <c r="J23" s="103">
        <v>20</v>
      </c>
      <c r="K23" s="102">
        <f t="shared" si="1"/>
        <v>5640</v>
      </c>
      <c r="L23" s="103">
        <v>20</v>
      </c>
      <c r="M23" s="102">
        <f t="shared" si="2"/>
        <v>5640</v>
      </c>
    </row>
    <row r="24" spans="1:15" ht="12.75">
      <c r="A24" s="40">
        <v>13</v>
      </c>
      <c r="B24" s="107" t="s">
        <v>937</v>
      </c>
      <c r="C24" s="175"/>
      <c r="D24" s="103"/>
      <c r="E24" s="102"/>
      <c r="F24" s="103"/>
      <c r="G24" s="41">
        <f>SUM(G8:G23)</f>
        <v>57914.884</v>
      </c>
      <c r="H24" s="41"/>
      <c r="I24" s="41">
        <f>SUM(I8:I23)</f>
        <v>96275.845</v>
      </c>
      <c r="J24" s="41"/>
      <c r="K24" s="41">
        <f>SUM(K8:K23)</f>
        <v>60829.525</v>
      </c>
      <c r="L24" s="41"/>
      <c r="M24" s="41">
        <f>SUM(M8:M23)</f>
        <v>99107.845</v>
      </c>
      <c r="N24" s="193"/>
      <c r="O24" s="194"/>
    </row>
    <row r="25" spans="1:15" ht="14.25" customHeight="1">
      <c r="A25" s="103">
        <v>14</v>
      </c>
      <c r="B25" s="100" t="s">
        <v>936</v>
      </c>
      <c r="C25" s="320"/>
      <c r="D25" s="321"/>
      <c r="E25" s="136">
        <v>0.09</v>
      </c>
      <c r="F25" s="136"/>
      <c r="G25" s="109">
        <f>G24*E25</f>
        <v>5212.339559999999</v>
      </c>
      <c r="H25" s="109"/>
      <c r="I25" s="109">
        <f>I24*E25</f>
        <v>8664.82605</v>
      </c>
      <c r="J25" s="109"/>
      <c r="K25" s="109">
        <f>K24*E25</f>
        <v>5474.65725</v>
      </c>
      <c r="L25" s="109"/>
      <c r="M25" s="109">
        <f>M24*E25</f>
        <v>8919.706049999999</v>
      </c>
      <c r="N25" s="193"/>
      <c r="O25" s="194"/>
    </row>
    <row r="26" spans="1:14" ht="15" customHeight="1">
      <c r="A26" s="103">
        <v>15</v>
      </c>
      <c r="B26" s="218" t="s">
        <v>289</v>
      </c>
      <c r="C26" s="40"/>
      <c r="D26" s="103"/>
      <c r="E26" s="103"/>
      <c r="F26" s="103"/>
      <c r="G26" s="102">
        <v>9429.97</v>
      </c>
      <c r="H26" s="102"/>
      <c r="I26" s="102">
        <v>13688.93</v>
      </c>
      <c r="J26" s="102"/>
      <c r="K26" s="102">
        <v>9429.97</v>
      </c>
      <c r="L26" s="102"/>
      <c r="M26" s="102">
        <v>13688.93</v>
      </c>
      <c r="N26" s="21"/>
    </row>
    <row r="27" spans="1:13" ht="15" customHeight="1">
      <c r="A27" s="103">
        <v>16</v>
      </c>
      <c r="B27" s="218" t="s">
        <v>290</v>
      </c>
      <c r="C27" s="40"/>
      <c r="D27" s="103"/>
      <c r="E27" s="103"/>
      <c r="F27" s="103"/>
      <c r="G27" s="102">
        <f>1.1*1600*1.2*1.1*1.1797*1.1402*0.9368</f>
        <v>2927.427155751015</v>
      </c>
      <c r="H27" s="102"/>
      <c r="I27" s="102">
        <f>1.1*1900*1.2*1.1*1.1797*1.1402*0.9368</f>
        <v>3476.31974745433</v>
      </c>
      <c r="J27" s="102"/>
      <c r="K27" s="102">
        <f>1.1*1600*1.2*1.1*1.1797*1.1402*0.9368</f>
        <v>2927.427155751015</v>
      </c>
      <c r="L27" s="102"/>
      <c r="M27" s="102">
        <f>1.1*1900*1.2*1.1*1.1797*1.1402*0.9368</f>
        <v>3476.31974745433</v>
      </c>
    </row>
    <row r="28" spans="1:14" ht="12.75" customHeight="1">
      <c r="A28" s="40">
        <v>17</v>
      </c>
      <c r="B28" s="107" t="s">
        <v>938</v>
      </c>
      <c r="C28" s="175"/>
      <c r="D28" s="103"/>
      <c r="E28" s="103"/>
      <c r="F28" s="103"/>
      <c r="G28" s="41">
        <f>G24+G25+G26+G27</f>
        <v>75484.62071575102</v>
      </c>
      <c r="H28" s="41"/>
      <c r="I28" s="41">
        <f>I24+I25+I26+I27</f>
        <v>122105.92079745432</v>
      </c>
      <c r="J28" s="41"/>
      <c r="K28" s="41">
        <f>K24+K25+K26+K27</f>
        <v>78661.57940575102</v>
      </c>
      <c r="L28" s="41"/>
      <c r="M28" s="41">
        <f>M24+M25+M26+M27</f>
        <v>125192.80079745433</v>
      </c>
      <c r="N28" s="195"/>
    </row>
    <row r="29" spans="1:14" ht="42" customHeight="1">
      <c r="A29" s="103">
        <v>18</v>
      </c>
      <c r="B29" s="100" t="s">
        <v>939</v>
      </c>
      <c r="C29" s="175"/>
      <c r="D29" s="103"/>
      <c r="E29" s="103">
        <v>0.11</v>
      </c>
      <c r="F29" s="103"/>
      <c r="G29" s="102">
        <f>G24*E29</f>
        <v>6370.63724</v>
      </c>
      <c r="H29" s="102"/>
      <c r="I29" s="102">
        <f>I24*E29</f>
        <v>10590.34295</v>
      </c>
      <c r="J29" s="102"/>
      <c r="K29" s="102">
        <f>K24*E29</f>
        <v>6691.24775</v>
      </c>
      <c r="L29" s="102"/>
      <c r="M29" s="102">
        <f>M24*E29</f>
        <v>10901.86295</v>
      </c>
      <c r="N29" s="195"/>
    </row>
    <row r="30" spans="1:15" s="19" customFormat="1" ht="15" customHeight="1">
      <c r="A30" s="136">
        <v>19</v>
      </c>
      <c r="B30" s="218" t="s">
        <v>717</v>
      </c>
      <c r="C30" s="179"/>
      <c r="D30" s="259"/>
      <c r="E30" s="259"/>
      <c r="F30" s="259"/>
      <c r="G30" s="109">
        <f>G28+G29</f>
        <v>81855.25795575102</v>
      </c>
      <c r="H30" s="109"/>
      <c r="I30" s="109">
        <f>I28+I29</f>
        <v>132696.26374745433</v>
      </c>
      <c r="J30" s="109"/>
      <c r="K30" s="109">
        <f>K28+K29</f>
        <v>85352.82715575102</v>
      </c>
      <c r="L30" s="109"/>
      <c r="M30" s="109">
        <f>M28+M29</f>
        <v>136094.66374745432</v>
      </c>
      <c r="O30" s="623"/>
    </row>
    <row r="31" spans="1:13" ht="16.5" customHeight="1">
      <c r="A31" s="226">
        <v>20</v>
      </c>
      <c r="B31" s="624" t="s">
        <v>716</v>
      </c>
      <c r="C31" s="175"/>
      <c r="D31" s="103"/>
      <c r="E31" s="103"/>
      <c r="F31" s="103"/>
      <c r="G31" s="227">
        <f>ROUND(G30,0)</f>
        <v>81855</v>
      </c>
      <c r="H31" s="227"/>
      <c r="I31" s="227">
        <f>ROUND(I30,0)</f>
        <v>132696</v>
      </c>
      <c r="J31" s="227"/>
      <c r="K31" s="227">
        <f>ROUND(K30,0)</f>
        <v>85353</v>
      </c>
      <c r="L31" s="227"/>
      <c r="M31" s="227">
        <f>ROUND(M30,0)</f>
        <v>136095</v>
      </c>
    </row>
    <row r="32" spans="1:13" ht="12.75">
      <c r="A32" s="32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22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22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22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22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22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</sheetData>
  <sheetProtection/>
  <mergeCells count="13">
    <mergeCell ref="C5:C6"/>
    <mergeCell ref="D5:D6"/>
    <mergeCell ref="E5:E6"/>
    <mergeCell ref="F5:G5"/>
    <mergeCell ref="H5:I5"/>
    <mergeCell ref="J5:K5"/>
    <mergeCell ref="L5:M5"/>
    <mergeCell ref="A15:A19"/>
    <mergeCell ref="C1:H1"/>
    <mergeCell ref="L2:M2"/>
    <mergeCell ref="A3:M3"/>
    <mergeCell ref="A5:A6"/>
    <mergeCell ref="B5:B6"/>
  </mergeCells>
  <printOptions horizontalCentered="1"/>
  <pageMargins left="0.61" right="0" top="0.56" bottom="0.2" header="0.38" footer="0.15"/>
  <pageSetup horizontalDpi="600" verticalDpi="600" orientation="landscape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J7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57421875" style="23" customWidth="1"/>
    <col min="2" max="2" width="74.140625" style="2" customWidth="1"/>
    <col min="3" max="3" width="13.421875" style="2" customWidth="1"/>
    <col min="4" max="4" width="6.140625" style="2" customWidth="1"/>
    <col min="5" max="5" width="6.57421875" style="2" customWidth="1"/>
    <col min="6" max="6" width="9.7109375" style="2" customWidth="1"/>
    <col min="7" max="7" width="12.57421875" style="2" customWidth="1"/>
    <col min="8" max="8" width="11.00390625" style="2" customWidth="1"/>
    <col min="9" max="9" width="32.28125" style="2" customWidth="1"/>
    <col min="10" max="10" width="11.00390625" style="2" bestFit="1" customWidth="1"/>
    <col min="11" max="11" width="3.28125" style="2" bestFit="1" customWidth="1"/>
    <col min="12" max="12" width="3.00390625" style="2" bestFit="1" customWidth="1"/>
    <col min="13" max="13" width="4.00390625" style="2" bestFit="1" customWidth="1"/>
    <col min="14" max="16384" width="9.140625" style="2" customWidth="1"/>
  </cols>
  <sheetData>
    <row r="1" spans="1:7" ht="18" customHeight="1">
      <c r="A1" s="52"/>
      <c r="B1" s="862" t="s">
        <v>291</v>
      </c>
      <c r="C1" s="862"/>
      <c r="D1" s="625"/>
      <c r="E1" s="625"/>
      <c r="F1" s="625"/>
      <c r="G1" s="625"/>
    </row>
    <row r="2" spans="1:7" ht="15.75" customHeight="1">
      <c r="A2" s="201"/>
      <c r="B2" s="625"/>
      <c r="C2" s="625"/>
      <c r="D2" s="625"/>
      <c r="E2" s="625"/>
      <c r="F2" s="866" t="s">
        <v>1003</v>
      </c>
      <c r="G2" s="866"/>
    </row>
    <row r="3" spans="2:7" ht="16.5" customHeight="1">
      <c r="B3" s="841" t="s">
        <v>292</v>
      </c>
      <c r="C3" s="841"/>
      <c r="D3" s="841"/>
      <c r="E3" s="841"/>
      <c r="F3" s="841"/>
      <c r="G3" s="68"/>
    </row>
    <row r="4" spans="1:5" ht="9.75" customHeight="1">
      <c r="A4" s="13"/>
      <c r="B4" s="68"/>
      <c r="C4" s="68"/>
      <c r="D4" s="68"/>
      <c r="E4" s="68"/>
    </row>
    <row r="5" spans="1:7" ht="30">
      <c r="A5" s="14" t="s">
        <v>191</v>
      </c>
      <c r="B5" s="221" t="s">
        <v>23</v>
      </c>
      <c r="C5" s="14" t="s">
        <v>751</v>
      </c>
      <c r="D5" s="14" t="s">
        <v>24</v>
      </c>
      <c r="E5" s="14" t="s">
        <v>178</v>
      </c>
      <c r="F5" s="14" t="s">
        <v>718</v>
      </c>
      <c r="G5" s="14" t="s">
        <v>1011</v>
      </c>
    </row>
    <row r="6" spans="1:7" ht="15">
      <c r="A6" s="73">
        <v>1</v>
      </c>
      <c r="B6" s="14">
        <v>2</v>
      </c>
      <c r="C6" s="14">
        <v>3</v>
      </c>
      <c r="D6" s="47">
        <v>4</v>
      </c>
      <c r="E6" s="14">
        <v>5</v>
      </c>
      <c r="F6" s="14">
        <v>6</v>
      </c>
      <c r="G6" s="14">
        <v>7</v>
      </c>
    </row>
    <row r="7" spans="1:7" ht="18" customHeight="1">
      <c r="A7" s="86">
        <v>1</v>
      </c>
      <c r="B7" s="85" t="s">
        <v>1403</v>
      </c>
      <c r="C7" s="152">
        <v>7130800012</v>
      </c>
      <c r="D7" s="330" t="s">
        <v>26</v>
      </c>
      <c r="E7" s="144">
        <v>1</v>
      </c>
      <c r="F7" s="88">
        <f>VLOOKUP(C7,'SOR RATE'!A:D,4,0)</f>
        <v>1654</v>
      </c>
      <c r="G7" s="88">
        <f>F7*E7</f>
        <v>1654</v>
      </c>
    </row>
    <row r="8" spans="1:7" ht="14.25">
      <c r="A8" s="86">
        <f>A7+1</f>
        <v>2</v>
      </c>
      <c r="B8" s="85" t="s">
        <v>1129</v>
      </c>
      <c r="C8" s="152">
        <v>7130810495</v>
      </c>
      <c r="D8" s="87" t="s">
        <v>26</v>
      </c>
      <c r="E8" s="144">
        <v>22</v>
      </c>
      <c r="F8" s="88">
        <f>VLOOKUP(C8,'SOR RATE'!A:D,4,0)</f>
        <v>1048</v>
      </c>
      <c r="G8" s="88">
        <f aca="true" t="shared" si="0" ref="G8:G31">F8*E8</f>
        <v>23056</v>
      </c>
    </row>
    <row r="9" spans="1:7" ht="14.25">
      <c r="A9" s="86">
        <f>A8+1</f>
        <v>3</v>
      </c>
      <c r="B9" s="85" t="s">
        <v>293</v>
      </c>
      <c r="C9" s="152">
        <v>7130810679</v>
      </c>
      <c r="D9" s="87" t="s">
        <v>26</v>
      </c>
      <c r="E9" s="144">
        <v>22</v>
      </c>
      <c r="F9" s="88">
        <f>VLOOKUP(C9,'SOR RATE'!A:D,4,0)</f>
        <v>294</v>
      </c>
      <c r="G9" s="88">
        <f t="shared" si="0"/>
        <v>6468</v>
      </c>
    </row>
    <row r="10" spans="1:7" ht="15.75" customHeight="1">
      <c r="A10" s="86">
        <f>A9+1</f>
        <v>4</v>
      </c>
      <c r="B10" s="85" t="s">
        <v>1130</v>
      </c>
      <c r="C10" s="152">
        <v>7130870013</v>
      </c>
      <c r="D10" s="241" t="s">
        <v>26</v>
      </c>
      <c r="E10" s="144">
        <v>22</v>
      </c>
      <c r="F10" s="88">
        <f>VLOOKUP(C10,'SOR RATE'!A:D,4,0)</f>
        <v>100</v>
      </c>
      <c r="G10" s="88">
        <f t="shared" si="0"/>
        <v>2200</v>
      </c>
    </row>
    <row r="11" spans="1:10" ht="14.25">
      <c r="A11" s="86">
        <f>A10+1</f>
        <v>5</v>
      </c>
      <c r="B11" s="162" t="s">
        <v>1039</v>
      </c>
      <c r="C11" s="163">
        <v>7130820008</v>
      </c>
      <c r="D11" s="87" t="s">
        <v>26</v>
      </c>
      <c r="E11" s="144">
        <v>66</v>
      </c>
      <c r="F11" s="88">
        <f>VLOOKUP(C11,'SOR RATE'!A:D,4,0)</f>
        <v>157</v>
      </c>
      <c r="G11" s="88">
        <f t="shared" si="0"/>
        <v>10362</v>
      </c>
      <c r="I11" s="733" t="s">
        <v>1038</v>
      </c>
      <c r="J11" s="733"/>
    </row>
    <row r="12" spans="1:7" ht="18" customHeight="1">
      <c r="A12" s="86">
        <v>6</v>
      </c>
      <c r="B12" s="626" t="s">
        <v>294</v>
      </c>
      <c r="C12" s="123">
        <v>7130830854</v>
      </c>
      <c r="D12" s="145" t="s">
        <v>26</v>
      </c>
      <c r="E12" s="86">
        <v>6</v>
      </c>
      <c r="F12" s="88">
        <f>VLOOKUP(C12,'SOR RATE'!A:D,4,0)</f>
        <v>26</v>
      </c>
      <c r="G12" s="88">
        <f t="shared" si="0"/>
        <v>156</v>
      </c>
    </row>
    <row r="13" spans="1:7" ht="14.25">
      <c r="A13" s="86">
        <v>7</v>
      </c>
      <c r="B13" s="85" t="s">
        <v>754</v>
      </c>
      <c r="C13" s="152">
        <v>7130211158</v>
      </c>
      <c r="D13" s="87" t="s">
        <v>30</v>
      </c>
      <c r="E13" s="86">
        <v>3</v>
      </c>
      <c r="F13" s="88">
        <f>VLOOKUP(C13,'SOR RATE'!A:D,4,0)</f>
        <v>130</v>
      </c>
      <c r="G13" s="88">
        <f t="shared" si="0"/>
        <v>390</v>
      </c>
    </row>
    <row r="14" spans="1:7" ht="14.25">
      <c r="A14" s="86">
        <v>8</v>
      </c>
      <c r="B14" s="85" t="s">
        <v>648</v>
      </c>
      <c r="C14" s="152">
        <v>7130210809</v>
      </c>
      <c r="D14" s="87" t="s">
        <v>30</v>
      </c>
      <c r="E14" s="86">
        <v>3</v>
      </c>
      <c r="F14" s="88">
        <f>VLOOKUP(C14,'SOR RATE'!A:D,4,0)</f>
        <v>290</v>
      </c>
      <c r="G14" s="88">
        <f t="shared" si="0"/>
        <v>870</v>
      </c>
    </row>
    <row r="15" spans="1:9" ht="14.25">
      <c r="A15" s="86">
        <v>9</v>
      </c>
      <c r="B15" s="90" t="s">
        <v>778</v>
      </c>
      <c r="C15" s="91">
        <v>7130610206</v>
      </c>
      <c r="D15" s="87" t="s">
        <v>32</v>
      </c>
      <c r="E15" s="86">
        <v>22</v>
      </c>
      <c r="F15" s="88">
        <f>VLOOKUP(C15,'SOR RATE'!A:D,4,0)/1000</f>
        <v>66.528</v>
      </c>
      <c r="G15" s="88">
        <f t="shared" si="0"/>
        <v>1463.6160000000002</v>
      </c>
      <c r="H15" s="759"/>
      <c r="I15" s="30"/>
    </row>
    <row r="16" spans="1:7" ht="14.25">
      <c r="A16" s="86">
        <v>10</v>
      </c>
      <c r="B16" s="85" t="s">
        <v>772</v>
      </c>
      <c r="C16" s="152">
        <v>7130880041</v>
      </c>
      <c r="D16" s="87" t="s">
        <v>26</v>
      </c>
      <c r="E16" s="86">
        <v>22</v>
      </c>
      <c r="F16" s="88">
        <f>VLOOKUP(C16,'SOR RATE'!A:D,4,0)</f>
        <v>74</v>
      </c>
      <c r="G16" s="88">
        <f t="shared" si="0"/>
        <v>1628</v>
      </c>
    </row>
    <row r="17" spans="1:7" ht="14.25">
      <c r="A17" s="86">
        <v>11</v>
      </c>
      <c r="B17" s="85" t="s">
        <v>295</v>
      </c>
      <c r="C17" s="152">
        <v>7130830006</v>
      </c>
      <c r="D17" s="87" t="s">
        <v>32</v>
      </c>
      <c r="E17" s="86">
        <v>5</v>
      </c>
      <c r="F17" s="88">
        <f>VLOOKUP(C17,'SOR RATE'!A:D,4,0)</f>
        <v>139</v>
      </c>
      <c r="G17" s="88">
        <f t="shared" si="0"/>
        <v>695</v>
      </c>
    </row>
    <row r="18" spans="1:7" ht="14.25">
      <c r="A18" s="867">
        <v>12</v>
      </c>
      <c r="B18" s="85" t="s">
        <v>296</v>
      </c>
      <c r="C18" s="93"/>
      <c r="D18" s="94"/>
      <c r="E18" s="94"/>
      <c r="F18" s="94"/>
      <c r="G18" s="95"/>
    </row>
    <row r="19" spans="1:7" ht="14.25">
      <c r="A19" s="868"/>
      <c r="B19" s="85" t="s">
        <v>193</v>
      </c>
      <c r="C19" s="152">
        <v>7130620619</v>
      </c>
      <c r="D19" s="92" t="s">
        <v>32</v>
      </c>
      <c r="E19" s="86">
        <v>2</v>
      </c>
      <c r="F19" s="88">
        <f>VLOOKUP(C19,'SOR RATE'!A:D,4,0)</f>
        <v>63</v>
      </c>
      <c r="G19" s="88">
        <f t="shared" si="0"/>
        <v>126</v>
      </c>
    </row>
    <row r="20" spans="1:7" ht="14.25">
      <c r="A20" s="869"/>
      <c r="B20" s="85" t="s">
        <v>195</v>
      </c>
      <c r="C20" s="152">
        <v>7130620627</v>
      </c>
      <c r="D20" s="92" t="s">
        <v>32</v>
      </c>
      <c r="E20" s="86">
        <v>17</v>
      </c>
      <c r="F20" s="88">
        <f>VLOOKUP(C20,'SOR RATE'!A:D,4,0)</f>
        <v>62</v>
      </c>
      <c r="G20" s="88">
        <f t="shared" si="0"/>
        <v>1054</v>
      </c>
    </row>
    <row r="21" spans="1:7" ht="14.25">
      <c r="A21" s="867">
        <v>13</v>
      </c>
      <c r="B21" s="85" t="s">
        <v>774</v>
      </c>
      <c r="C21" s="93"/>
      <c r="D21" s="94"/>
      <c r="E21" s="94"/>
      <c r="F21" s="94"/>
      <c r="G21" s="95"/>
    </row>
    <row r="22" spans="1:9" ht="14.25">
      <c r="A22" s="868"/>
      <c r="B22" s="85" t="s">
        <v>1134</v>
      </c>
      <c r="C22" s="152">
        <v>7130810511</v>
      </c>
      <c r="D22" s="87" t="s">
        <v>26</v>
      </c>
      <c r="E22" s="86">
        <v>12</v>
      </c>
      <c r="F22" s="88">
        <f>VLOOKUP(C22,'SOR RATE'!A:D,4,0)</f>
        <v>2485</v>
      </c>
      <c r="G22" s="88">
        <f t="shared" si="0"/>
        <v>29820</v>
      </c>
      <c r="I22" s="31"/>
    </row>
    <row r="23" spans="1:7" ht="14.25">
      <c r="A23" s="868"/>
      <c r="B23" s="85" t="s">
        <v>190</v>
      </c>
      <c r="C23" s="152">
        <v>7130870043</v>
      </c>
      <c r="D23" s="87" t="s">
        <v>32</v>
      </c>
      <c r="E23" s="86">
        <v>441</v>
      </c>
      <c r="F23" s="88">
        <f>VLOOKUP(C23,'SOR RATE'!A:D,4,0)/1000</f>
        <v>55.094</v>
      </c>
      <c r="G23" s="88">
        <f t="shared" si="0"/>
        <v>24296.454</v>
      </c>
    </row>
    <row r="24" spans="1:7" ht="14.25">
      <c r="A24" s="868"/>
      <c r="B24" s="85" t="s">
        <v>297</v>
      </c>
      <c r="C24" s="714">
        <v>7130810026</v>
      </c>
      <c r="D24" s="87" t="s">
        <v>26</v>
      </c>
      <c r="E24" s="86">
        <v>2</v>
      </c>
      <c r="F24" s="88">
        <f>VLOOKUP(C24,'SOR RATE'!A190:D190,4,0)</f>
        <v>265</v>
      </c>
      <c r="G24" s="88">
        <f t="shared" si="0"/>
        <v>530</v>
      </c>
    </row>
    <row r="25" spans="1:7" ht="14.25">
      <c r="A25" s="868"/>
      <c r="B25" s="85" t="s">
        <v>298</v>
      </c>
      <c r="C25" s="152">
        <v>7130860077</v>
      </c>
      <c r="D25" s="166" t="s">
        <v>32</v>
      </c>
      <c r="E25" s="86">
        <v>11</v>
      </c>
      <c r="F25" s="88">
        <f>VLOOKUP(C25,'SOR RATE'!A:D,4,0)/1000</f>
        <v>61.6</v>
      </c>
      <c r="G25" s="88">
        <f t="shared" si="0"/>
        <v>677.6</v>
      </c>
    </row>
    <row r="26" spans="1:7" ht="14.25">
      <c r="A26" s="868"/>
      <c r="B26" s="85" t="s">
        <v>1137</v>
      </c>
      <c r="C26" s="152">
        <v>7130860032</v>
      </c>
      <c r="D26" s="87" t="s">
        <v>26</v>
      </c>
      <c r="E26" s="86">
        <v>2</v>
      </c>
      <c r="F26" s="88">
        <f>VLOOKUP(C26,'SOR RATE'!A:D,4,0)</f>
        <v>387</v>
      </c>
      <c r="G26" s="88">
        <f t="shared" si="0"/>
        <v>774</v>
      </c>
    </row>
    <row r="27" spans="1:7" ht="14.25">
      <c r="A27" s="869"/>
      <c r="B27" s="85" t="s">
        <v>299</v>
      </c>
      <c r="C27" s="152">
        <v>7130620013</v>
      </c>
      <c r="D27" s="627" t="s">
        <v>1013</v>
      </c>
      <c r="E27" s="86">
        <v>4</v>
      </c>
      <c r="F27" s="88">
        <f>VLOOKUP(C27,'SOR RATE'!A:D,4,0)</f>
        <v>118</v>
      </c>
      <c r="G27" s="88">
        <f t="shared" si="0"/>
        <v>472</v>
      </c>
    </row>
    <row r="28" spans="1:7" ht="19.5" customHeight="1">
      <c r="A28" s="867">
        <v>14</v>
      </c>
      <c r="B28" s="85" t="s">
        <v>300</v>
      </c>
      <c r="C28" s="86"/>
      <c r="D28" s="86" t="s">
        <v>28</v>
      </c>
      <c r="E28" s="86"/>
      <c r="F28" s="88"/>
      <c r="G28" s="88"/>
    </row>
    <row r="29" spans="1:7" ht="16.5" customHeight="1">
      <c r="A29" s="869"/>
      <c r="B29" s="85" t="s">
        <v>301</v>
      </c>
      <c r="C29" s="152">
        <v>7130200401</v>
      </c>
      <c r="D29" s="166" t="s">
        <v>32</v>
      </c>
      <c r="E29" s="86">
        <v>104</v>
      </c>
      <c r="F29" s="88">
        <f>VLOOKUP(C29,'SOR RATE'!A:D,4,0)/50</f>
        <v>5.36</v>
      </c>
      <c r="G29" s="88">
        <f t="shared" si="0"/>
        <v>557.44</v>
      </c>
    </row>
    <row r="30" spans="1:7" ht="15.75" customHeight="1">
      <c r="A30" s="86">
        <v>15</v>
      </c>
      <c r="B30" s="85" t="s">
        <v>302</v>
      </c>
      <c r="C30" s="86">
        <v>7130311008</v>
      </c>
      <c r="D30" s="86" t="s">
        <v>1014</v>
      </c>
      <c r="E30" s="86">
        <v>2104</v>
      </c>
      <c r="F30" s="88">
        <f>VLOOKUP(C30,'SOR RATE'!A:D,4,0)/1000</f>
        <v>15.99</v>
      </c>
      <c r="G30" s="88">
        <f t="shared" si="0"/>
        <v>33642.96</v>
      </c>
    </row>
    <row r="31" spans="1:7" ht="15.75" customHeight="1">
      <c r="A31" s="86">
        <v>16</v>
      </c>
      <c r="B31" s="85" t="s">
        <v>303</v>
      </c>
      <c r="C31" s="152">
        <v>7130830053</v>
      </c>
      <c r="D31" s="330" t="s">
        <v>307</v>
      </c>
      <c r="E31" s="86">
        <v>1030</v>
      </c>
      <c r="F31" s="88">
        <f>VLOOKUP(C31,'SOR RATE'!A:D,4,0)/1000</f>
        <v>13.002</v>
      </c>
      <c r="G31" s="88">
        <f t="shared" si="0"/>
        <v>13392.060000000001</v>
      </c>
    </row>
    <row r="32" spans="1:8" ht="15">
      <c r="A32" s="14">
        <v>17</v>
      </c>
      <c r="B32" s="97" t="s">
        <v>937</v>
      </c>
      <c r="C32" s="14"/>
      <c r="D32" s="86"/>
      <c r="E32" s="86"/>
      <c r="F32" s="86"/>
      <c r="G32" s="129">
        <f>SUM(G7:G31)</f>
        <v>154285.13</v>
      </c>
      <c r="H32" s="63"/>
    </row>
    <row r="33" spans="1:9" ht="16.5" customHeight="1">
      <c r="A33" s="145">
        <v>18</v>
      </c>
      <c r="B33" s="90" t="s">
        <v>936</v>
      </c>
      <c r="C33" s="238"/>
      <c r="D33" s="239"/>
      <c r="E33" s="239"/>
      <c r="F33" s="86">
        <v>0.09</v>
      </c>
      <c r="G33" s="88">
        <f>G32*F33</f>
        <v>13885.6617</v>
      </c>
      <c r="H33" s="63"/>
      <c r="I33" s="60"/>
    </row>
    <row r="34" spans="1:7" ht="17.25" customHeight="1">
      <c r="A34" s="86">
        <v>19</v>
      </c>
      <c r="B34" s="85" t="s">
        <v>304</v>
      </c>
      <c r="C34" s="86"/>
      <c r="D34" s="86" t="s">
        <v>1013</v>
      </c>
      <c r="E34" s="86">
        <v>2</v>
      </c>
      <c r="F34" s="88">
        <f>132*1.11*1.086275*1.1112*1.0685</f>
        <v>188.97460830432362</v>
      </c>
      <c r="G34" s="88">
        <f>F34*E34</f>
        <v>377.94921660864725</v>
      </c>
    </row>
    <row r="35" spans="1:7" ht="15.75" customHeight="1">
      <c r="A35" s="86">
        <v>20</v>
      </c>
      <c r="B35" s="85" t="s">
        <v>756</v>
      </c>
      <c r="C35" s="86"/>
      <c r="D35" s="86" t="s">
        <v>1146</v>
      </c>
      <c r="E35" s="86">
        <v>0.5</v>
      </c>
      <c r="F35" s="119">
        <f>1664*1.27*1.0891*1.086275*1.1112*1.0685</f>
        <v>2968.460981603261</v>
      </c>
      <c r="G35" s="88">
        <f>F35*E35</f>
        <v>1484.2304908016306</v>
      </c>
    </row>
    <row r="36" spans="1:8" ht="16.5" customHeight="1">
      <c r="A36" s="86">
        <v>21</v>
      </c>
      <c r="B36" s="85" t="s">
        <v>305</v>
      </c>
      <c r="C36" s="86"/>
      <c r="D36" s="86"/>
      <c r="E36" s="86"/>
      <c r="F36" s="86"/>
      <c r="G36" s="88">
        <v>34020.42</v>
      </c>
      <c r="H36" s="21"/>
    </row>
    <row r="37" spans="1:7" ht="30" customHeight="1">
      <c r="A37" s="86">
        <v>22</v>
      </c>
      <c r="B37" s="85" t="s">
        <v>306</v>
      </c>
      <c r="C37" s="86"/>
      <c r="D37" s="86"/>
      <c r="E37" s="86"/>
      <c r="F37" s="86"/>
      <c r="G37" s="88">
        <f>1.1*2000*1.2*1.1*1.1797*1.1402*0.9368</f>
        <v>3659.283944688769</v>
      </c>
    </row>
    <row r="38" spans="1:8" ht="15">
      <c r="A38" s="14">
        <v>23</v>
      </c>
      <c r="B38" s="97" t="s">
        <v>938</v>
      </c>
      <c r="C38" s="86"/>
      <c r="D38" s="86"/>
      <c r="E38" s="86"/>
      <c r="F38" s="86"/>
      <c r="G38" s="129">
        <f>G32+G33+G34+G35+G36+G37</f>
        <v>207712.67535209903</v>
      </c>
      <c r="H38" s="65"/>
    </row>
    <row r="39" spans="1:8" ht="30" customHeight="1">
      <c r="A39" s="86">
        <v>24</v>
      </c>
      <c r="B39" s="90" t="s">
        <v>939</v>
      </c>
      <c r="C39" s="86"/>
      <c r="D39" s="86"/>
      <c r="E39" s="86"/>
      <c r="F39" s="86">
        <v>0.11</v>
      </c>
      <c r="G39" s="88">
        <f>G32*F39</f>
        <v>16971.3643</v>
      </c>
      <c r="H39" s="65"/>
    </row>
    <row r="40" spans="1:9" ht="16.5" customHeight="1">
      <c r="A40" s="86">
        <v>25</v>
      </c>
      <c r="B40" s="85" t="s">
        <v>1143</v>
      </c>
      <c r="C40" s="86"/>
      <c r="D40" s="86"/>
      <c r="E40" s="86"/>
      <c r="F40" s="86"/>
      <c r="G40" s="88">
        <f>G38+G39</f>
        <v>224684.03965209902</v>
      </c>
      <c r="I40" s="171"/>
    </row>
    <row r="41" spans="1:7" ht="19.5" customHeight="1">
      <c r="A41" s="14">
        <v>26</v>
      </c>
      <c r="B41" s="148" t="s">
        <v>1144</v>
      </c>
      <c r="C41" s="86"/>
      <c r="D41" s="86"/>
      <c r="E41" s="86"/>
      <c r="F41" s="86"/>
      <c r="G41" s="129">
        <f>ROUND(G40,0)</f>
        <v>224684</v>
      </c>
    </row>
    <row r="42" spans="1:7" ht="15">
      <c r="A42" s="291"/>
      <c r="B42" s="45"/>
      <c r="C42" s="628"/>
      <c r="D42" s="297"/>
      <c r="E42" s="297"/>
      <c r="F42" s="297"/>
      <c r="G42" s="629"/>
    </row>
    <row r="43" spans="1:7" ht="15.75" customHeight="1">
      <c r="A43" s="870" t="s">
        <v>127</v>
      </c>
      <c r="B43" s="876" t="s">
        <v>809</v>
      </c>
      <c r="C43" s="876"/>
      <c r="D43" s="876"/>
      <c r="E43" s="876"/>
      <c r="F43" s="876"/>
      <c r="G43" s="876"/>
    </row>
    <row r="44" spans="1:7" ht="30" customHeight="1">
      <c r="A44" s="870"/>
      <c r="B44" s="876" t="s">
        <v>810</v>
      </c>
      <c r="C44" s="876"/>
      <c r="D44" s="876"/>
      <c r="E44" s="876"/>
      <c r="F44" s="876"/>
      <c r="G44" s="876"/>
    </row>
    <row r="45" spans="1:7" ht="14.25">
      <c r="A45" s="51"/>
      <c r="B45" s="27"/>
      <c r="C45" s="27"/>
      <c r="D45" s="298"/>
      <c r="E45" s="298"/>
      <c r="F45" s="298"/>
      <c r="G45" s="298"/>
    </row>
    <row r="74" spans="2:3" ht="15.75">
      <c r="B74" s="854" t="s">
        <v>1040</v>
      </c>
      <c r="C74" s="854"/>
    </row>
    <row r="76" spans="2:4" ht="14.25">
      <c r="B76" s="588" t="s">
        <v>49</v>
      </c>
      <c r="C76" s="163">
        <v>7130820155</v>
      </c>
      <c r="D76" s="192" t="s">
        <v>26</v>
      </c>
    </row>
  </sheetData>
  <sheetProtection/>
  <mergeCells count="10">
    <mergeCell ref="B1:C1"/>
    <mergeCell ref="F2:G2"/>
    <mergeCell ref="B3:F3"/>
    <mergeCell ref="A18:A20"/>
    <mergeCell ref="B74:C74"/>
    <mergeCell ref="A43:A44"/>
    <mergeCell ref="B43:G43"/>
    <mergeCell ref="B44:G44"/>
    <mergeCell ref="A21:A27"/>
    <mergeCell ref="A28:A29"/>
  </mergeCells>
  <printOptions horizontalCentered="1"/>
  <pageMargins left="0.98" right="0.15" top="0.82" bottom="0.3" header="0.47" footer="0.16"/>
  <pageSetup horizontalDpi="600" verticalDpi="600" orientation="landscape" paperSize="9" scale="10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J69"/>
  <sheetViews>
    <sheetView zoomScale="115" zoomScaleNormal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00390625" style="23" customWidth="1"/>
    <col min="2" max="2" width="54.28125" style="2" customWidth="1"/>
    <col min="3" max="3" width="12.57421875" style="32" customWidth="1"/>
    <col min="4" max="4" width="5.28125" style="2" customWidth="1"/>
    <col min="5" max="5" width="5.8515625" style="2" customWidth="1"/>
    <col min="6" max="6" width="8.8515625" style="2" customWidth="1"/>
    <col min="7" max="7" width="11.57421875" style="2" customWidth="1"/>
    <col min="8" max="8" width="9.421875" style="2" customWidth="1"/>
    <col min="9" max="9" width="21.8515625" style="2" customWidth="1"/>
    <col min="10" max="10" width="11.00390625" style="2" bestFit="1" customWidth="1"/>
    <col min="11" max="11" width="3.8515625" style="2" bestFit="1" customWidth="1"/>
    <col min="12" max="12" width="4.28125" style="2" customWidth="1"/>
    <col min="13" max="13" width="5.7109375" style="2" customWidth="1"/>
    <col min="14" max="16384" width="9.140625" style="2" customWidth="1"/>
  </cols>
  <sheetData>
    <row r="1" spans="2:9" ht="18" customHeight="1">
      <c r="B1" s="877" t="s">
        <v>811</v>
      </c>
      <c r="C1" s="877"/>
      <c r="D1" s="28"/>
      <c r="E1" s="28"/>
      <c r="F1" s="28"/>
      <c r="G1" s="28"/>
      <c r="H1" s="28"/>
      <c r="I1" s="38"/>
    </row>
    <row r="2" spans="2:9" ht="9.75" customHeight="1">
      <c r="B2" s="201"/>
      <c r="C2" s="28"/>
      <c r="D2" s="28"/>
      <c r="E2" s="28"/>
      <c r="F2" s="28"/>
      <c r="G2" s="28"/>
      <c r="H2" s="28"/>
      <c r="I2" s="38"/>
    </row>
    <row r="3" spans="2:7" ht="15" customHeight="1">
      <c r="B3" s="841" t="s">
        <v>812</v>
      </c>
      <c r="C3" s="841"/>
      <c r="D3" s="841"/>
      <c r="E3" s="841"/>
      <c r="F3" s="841"/>
      <c r="G3" s="68"/>
    </row>
    <row r="4" spans="2:7" ht="12.75" customHeight="1">
      <c r="B4" s="13"/>
      <c r="C4" s="13"/>
      <c r="D4" s="15"/>
      <c r="E4" s="15"/>
      <c r="F4" s="15"/>
      <c r="G4" s="15"/>
    </row>
    <row r="5" spans="1:7" ht="15">
      <c r="A5" s="13"/>
      <c r="B5" s="325"/>
      <c r="C5" s="325"/>
      <c r="D5" s="325"/>
      <c r="E5" s="325"/>
      <c r="F5" s="841" t="s">
        <v>1003</v>
      </c>
      <c r="G5" s="841"/>
    </row>
    <row r="6" spans="1:7" ht="9.75" customHeight="1">
      <c r="A6" s="13"/>
      <c r="B6" s="325"/>
      <c r="C6" s="325"/>
      <c r="D6" s="325"/>
      <c r="E6" s="325"/>
      <c r="F6" s="229"/>
      <c r="G6" s="229"/>
    </row>
    <row r="7" spans="1:7" ht="16.5" customHeight="1">
      <c r="A7" s="40" t="s">
        <v>191</v>
      </c>
      <c r="B7" s="175" t="s">
        <v>23</v>
      </c>
      <c r="C7" s="40" t="s">
        <v>751</v>
      </c>
      <c r="D7" s="40" t="s">
        <v>24</v>
      </c>
      <c r="E7" s="40" t="s">
        <v>178</v>
      </c>
      <c r="F7" s="40" t="s">
        <v>1010</v>
      </c>
      <c r="G7" s="40" t="s">
        <v>1011</v>
      </c>
    </row>
    <row r="8" spans="1:7" ht="12.75" customHeight="1">
      <c r="A8" s="205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</row>
    <row r="9" spans="1:7" ht="18" customHeight="1">
      <c r="A9" s="86">
        <v>1</v>
      </c>
      <c r="B9" s="85" t="s">
        <v>813</v>
      </c>
      <c r="C9" s="152">
        <v>7130800012</v>
      </c>
      <c r="D9" s="330" t="s">
        <v>26</v>
      </c>
      <c r="E9" s="86">
        <v>1</v>
      </c>
      <c r="F9" s="88">
        <f>VLOOKUP(C9,'SOR RATE'!A:D,4,0)</f>
        <v>1654</v>
      </c>
      <c r="G9" s="88">
        <f>F9*E9</f>
        <v>1654</v>
      </c>
    </row>
    <row r="10" spans="1:7" ht="14.25">
      <c r="A10" s="86">
        <v>2</v>
      </c>
      <c r="B10" s="85" t="s">
        <v>1129</v>
      </c>
      <c r="C10" s="152">
        <v>7130810495</v>
      </c>
      <c r="D10" s="87" t="s">
        <v>26</v>
      </c>
      <c r="E10" s="86">
        <v>22</v>
      </c>
      <c r="F10" s="88">
        <f>VLOOKUP(C10,'SOR RATE'!A:D,4,0)</f>
        <v>1048</v>
      </c>
      <c r="G10" s="88">
        <f aca="true" t="shared" si="0" ref="G10:G33">F10*E10</f>
        <v>23056</v>
      </c>
    </row>
    <row r="11" spans="1:7" ht="14.25">
      <c r="A11" s="86">
        <v>3</v>
      </c>
      <c r="B11" s="85" t="s">
        <v>814</v>
      </c>
      <c r="C11" s="152">
        <v>7130810679</v>
      </c>
      <c r="D11" s="87" t="s">
        <v>26</v>
      </c>
      <c r="E11" s="86">
        <v>22</v>
      </c>
      <c r="F11" s="88">
        <f>VLOOKUP(C11,'SOR RATE'!A:D,4,0)</f>
        <v>294</v>
      </c>
      <c r="G11" s="88">
        <f t="shared" si="0"/>
        <v>6468</v>
      </c>
    </row>
    <row r="12" spans="1:7" ht="14.25">
      <c r="A12" s="86">
        <v>4</v>
      </c>
      <c r="B12" s="85" t="s">
        <v>815</v>
      </c>
      <c r="C12" s="152">
        <v>7130870013</v>
      </c>
      <c r="D12" s="241" t="s">
        <v>26</v>
      </c>
      <c r="E12" s="86">
        <v>22</v>
      </c>
      <c r="F12" s="88">
        <f>VLOOKUP(C12,'SOR RATE'!A:D,4,0)</f>
        <v>100</v>
      </c>
      <c r="G12" s="88">
        <f t="shared" si="0"/>
        <v>2200</v>
      </c>
    </row>
    <row r="13" spans="1:9" ht="15.75" customHeight="1">
      <c r="A13" s="86">
        <v>5</v>
      </c>
      <c r="B13" s="162" t="s">
        <v>1039</v>
      </c>
      <c r="C13" s="163">
        <v>7130820008</v>
      </c>
      <c r="D13" s="87" t="s">
        <v>26</v>
      </c>
      <c r="E13" s="86">
        <v>66</v>
      </c>
      <c r="F13" s="88">
        <f>VLOOKUP(C13,'SOR RATE'!A:D,4,0)</f>
        <v>157</v>
      </c>
      <c r="G13" s="88">
        <f t="shared" si="0"/>
        <v>10362</v>
      </c>
      <c r="I13" s="733" t="s">
        <v>1038</v>
      </c>
    </row>
    <row r="14" spans="1:7" ht="16.5" customHeight="1">
      <c r="A14" s="86">
        <v>6</v>
      </c>
      <c r="B14" s="626" t="s">
        <v>294</v>
      </c>
      <c r="C14" s="123">
        <v>7130830854</v>
      </c>
      <c r="D14" s="145" t="s">
        <v>26</v>
      </c>
      <c r="E14" s="86">
        <v>6</v>
      </c>
      <c r="F14" s="88">
        <f>VLOOKUP(C14,'SOR RATE'!A:D,4,0)</f>
        <v>26</v>
      </c>
      <c r="G14" s="88">
        <f t="shared" si="0"/>
        <v>156</v>
      </c>
    </row>
    <row r="15" spans="1:7" ht="14.25">
      <c r="A15" s="86">
        <v>7</v>
      </c>
      <c r="B15" s="85" t="s">
        <v>754</v>
      </c>
      <c r="C15" s="152">
        <v>7130211158</v>
      </c>
      <c r="D15" s="87" t="s">
        <v>30</v>
      </c>
      <c r="E15" s="86">
        <v>3</v>
      </c>
      <c r="F15" s="88">
        <f>VLOOKUP(C15,'SOR RATE'!A:D,4,0)</f>
        <v>130</v>
      </c>
      <c r="G15" s="88">
        <f t="shared" si="0"/>
        <v>390</v>
      </c>
    </row>
    <row r="16" spans="1:7" ht="14.25">
      <c r="A16" s="86">
        <v>8</v>
      </c>
      <c r="B16" s="85" t="s">
        <v>648</v>
      </c>
      <c r="C16" s="152">
        <v>7130210809</v>
      </c>
      <c r="D16" s="87" t="s">
        <v>30</v>
      </c>
      <c r="E16" s="86">
        <v>3</v>
      </c>
      <c r="F16" s="88">
        <f>VLOOKUP(C16,'SOR RATE'!A:D,4,0)</f>
        <v>290</v>
      </c>
      <c r="G16" s="88">
        <f t="shared" si="0"/>
        <v>870</v>
      </c>
    </row>
    <row r="17" spans="1:10" ht="14.25">
      <c r="A17" s="86">
        <v>9</v>
      </c>
      <c r="B17" s="90" t="s">
        <v>778</v>
      </c>
      <c r="C17" s="91">
        <v>7130610206</v>
      </c>
      <c r="D17" s="87" t="s">
        <v>32</v>
      </c>
      <c r="E17" s="86">
        <v>22</v>
      </c>
      <c r="F17" s="88">
        <f>VLOOKUP(C17,'SOR RATE'!A:D,4,0)/1000</f>
        <v>66.528</v>
      </c>
      <c r="G17" s="88">
        <f t="shared" si="0"/>
        <v>1463.6160000000002</v>
      </c>
      <c r="H17" s="759"/>
      <c r="I17" s="30"/>
      <c r="J17" s="30"/>
    </row>
    <row r="18" spans="1:7" ht="14.25">
      <c r="A18" s="86">
        <v>10</v>
      </c>
      <c r="B18" s="85" t="s">
        <v>772</v>
      </c>
      <c r="C18" s="152">
        <v>7130880041</v>
      </c>
      <c r="D18" s="87" t="s">
        <v>26</v>
      </c>
      <c r="E18" s="86">
        <v>22</v>
      </c>
      <c r="F18" s="88">
        <f>VLOOKUP(C18,'SOR RATE'!A:D,4,0)</f>
        <v>74</v>
      </c>
      <c r="G18" s="88">
        <f t="shared" si="0"/>
        <v>1628</v>
      </c>
    </row>
    <row r="19" spans="1:7" ht="14.25">
      <c r="A19" s="86">
        <v>11</v>
      </c>
      <c r="B19" s="85" t="s">
        <v>295</v>
      </c>
      <c r="C19" s="152">
        <v>7130830006</v>
      </c>
      <c r="D19" s="87" t="s">
        <v>32</v>
      </c>
      <c r="E19" s="86">
        <v>5</v>
      </c>
      <c r="F19" s="88">
        <f>VLOOKUP(C19,'SOR RATE'!A:D,4,0)</f>
        <v>139</v>
      </c>
      <c r="G19" s="88">
        <f t="shared" si="0"/>
        <v>695</v>
      </c>
    </row>
    <row r="20" spans="1:7" ht="14.25">
      <c r="A20" s="867">
        <v>12</v>
      </c>
      <c r="B20" s="85" t="s">
        <v>296</v>
      </c>
      <c r="C20" s="93"/>
      <c r="D20" s="94"/>
      <c r="E20" s="94"/>
      <c r="F20" s="94"/>
      <c r="G20" s="95"/>
    </row>
    <row r="21" spans="1:7" ht="14.25">
      <c r="A21" s="868"/>
      <c r="B21" s="85" t="s">
        <v>193</v>
      </c>
      <c r="C21" s="152">
        <v>7130620619</v>
      </c>
      <c r="D21" s="92" t="s">
        <v>308</v>
      </c>
      <c r="E21" s="86">
        <v>2</v>
      </c>
      <c r="F21" s="88">
        <f>VLOOKUP(C21,'SOR RATE'!A:D,4,0)</f>
        <v>63</v>
      </c>
      <c r="G21" s="88">
        <f t="shared" si="0"/>
        <v>126</v>
      </c>
    </row>
    <row r="22" spans="1:7" ht="14.25">
      <c r="A22" s="869"/>
      <c r="B22" s="85" t="s">
        <v>195</v>
      </c>
      <c r="C22" s="152">
        <v>7130620627</v>
      </c>
      <c r="D22" s="92" t="s">
        <v>308</v>
      </c>
      <c r="E22" s="86">
        <v>17</v>
      </c>
      <c r="F22" s="88">
        <f>VLOOKUP(C22,'SOR RATE'!A:D,4,0)</f>
        <v>62</v>
      </c>
      <c r="G22" s="88">
        <f t="shared" si="0"/>
        <v>1054</v>
      </c>
    </row>
    <row r="23" spans="1:7" ht="14.25">
      <c r="A23" s="867">
        <v>13</v>
      </c>
      <c r="B23" s="85" t="s">
        <v>774</v>
      </c>
      <c r="C23" s="93"/>
      <c r="D23" s="94"/>
      <c r="E23" s="94"/>
      <c r="F23" s="94"/>
      <c r="G23" s="95"/>
    </row>
    <row r="24" spans="1:7" ht="14.25">
      <c r="A24" s="868"/>
      <c r="B24" s="85" t="s">
        <v>1134</v>
      </c>
      <c r="C24" s="152">
        <v>7130810511</v>
      </c>
      <c r="D24" s="87" t="s">
        <v>26</v>
      </c>
      <c r="E24" s="86">
        <v>23</v>
      </c>
      <c r="F24" s="88">
        <f>VLOOKUP(C24,'SOR RATE'!A:D,4,0)</f>
        <v>2485</v>
      </c>
      <c r="G24" s="88">
        <f t="shared" si="0"/>
        <v>57155</v>
      </c>
    </row>
    <row r="25" spans="1:7" ht="14.25">
      <c r="A25" s="868"/>
      <c r="B25" s="85" t="s">
        <v>190</v>
      </c>
      <c r="C25" s="152">
        <v>7130870043</v>
      </c>
      <c r="D25" s="87" t="s">
        <v>32</v>
      </c>
      <c r="E25" s="86">
        <v>441</v>
      </c>
      <c r="F25" s="88">
        <f>VLOOKUP(C25,'SOR RATE'!A:D,4,0)/1000</f>
        <v>55.094</v>
      </c>
      <c r="G25" s="88">
        <f t="shared" si="0"/>
        <v>24296.454</v>
      </c>
    </row>
    <row r="26" spans="1:7" ht="14.25">
      <c r="A26" s="868"/>
      <c r="B26" s="85" t="s">
        <v>297</v>
      </c>
      <c r="C26" s="714">
        <v>7130810026</v>
      </c>
      <c r="D26" s="87" t="s">
        <v>26</v>
      </c>
      <c r="E26" s="86">
        <v>2</v>
      </c>
      <c r="F26" s="88">
        <f>VLOOKUP(C26,'SOR RATE'!A190:D190,4,0)</f>
        <v>265</v>
      </c>
      <c r="G26" s="88">
        <f t="shared" si="0"/>
        <v>530</v>
      </c>
    </row>
    <row r="27" spans="1:7" ht="14.25">
      <c r="A27" s="868"/>
      <c r="B27" s="85" t="s">
        <v>298</v>
      </c>
      <c r="C27" s="152">
        <v>7130860077</v>
      </c>
      <c r="D27" s="166" t="s">
        <v>32</v>
      </c>
      <c r="E27" s="86">
        <v>11</v>
      </c>
      <c r="F27" s="88">
        <f>VLOOKUP(C27,'SOR RATE'!A:D,4,0)/1000</f>
        <v>61.6</v>
      </c>
      <c r="G27" s="88">
        <f t="shared" si="0"/>
        <v>677.6</v>
      </c>
    </row>
    <row r="28" spans="1:7" ht="14.25">
      <c r="A28" s="868"/>
      <c r="B28" s="85" t="s">
        <v>1137</v>
      </c>
      <c r="C28" s="152">
        <v>7130860032</v>
      </c>
      <c r="D28" s="87" t="s">
        <v>26</v>
      </c>
      <c r="E28" s="86">
        <v>2</v>
      </c>
      <c r="F28" s="88">
        <f>VLOOKUP(C28,'SOR RATE'!A:D,4,0)</f>
        <v>387</v>
      </c>
      <c r="G28" s="88">
        <f t="shared" si="0"/>
        <v>774</v>
      </c>
    </row>
    <row r="29" spans="1:7" ht="14.25">
      <c r="A29" s="869"/>
      <c r="B29" s="85" t="s">
        <v>816</v>
      </c>
      <c r="C29" s="152">
        <v>7130620013</v>
      </c>
      <c r="D29" s="627" t="s">
        <v>1013</v>
      </c>
      <c r="E29" s="86">
        <v>4</v>
      </c>
      <c r="F29" s="88">
        <f>VLOOKUP(C29,'SOR RATE'!A:D,4,0)</f>
        <v>118</v>
      </c>
      <c r="G29" s="88">
        <f t="shared" si="0"/>
        <v>472</v>
      </c>
    </row>
    <row r="30" spans="1:7" ht="28.5">
      <c r="A30" s="867">
        <v>14</v>
      </c>
      <c r="B30" s="85" t="s">
        <v>327</v>
      </c>
      <c r="C30" s="86"/>
      <c r="D30" s="86" t="s">
        <v>1146</v>
      </c>
      <c r="E30" s="86"/>
      <c r="F30" s="86"/>
      <c r="G30" s="88"/>
    </row>
    <row r="31" spans="1:7" ht="15.75" customHeight="1">
      <c r="A31" s="869"/>
      <c r="B31" s="85" t="s">
        <v>301</v>
      </c>
      <c r="C31" s="152">
        <v>7130200401</v>
      </c>
      <c r="D31" s="166" t="s">
        <v>32</v>
      </c>
      <c r="E31" s="86">
        <v>104</v>
      </c>
      <c r="F31" s="88">
        <f>VLOOKUP(C31,'SOR RATE'!A:D,4,0)/50</f>
        <v>5.36</v>
      </c>
      <c r="G31" s="88">
        <f t="shared" si="0"/>
        <v>557.44</v>
      </c>
    </row>
    <row r="32" spans="1:7" ht="16.5" customHeight="1">
      <c r="A32" s="86">
        <v>15</v>
      </c>
      <c r="B32" s="85" t="s">
        <v>328</v>
      </c>
      <c r="C32" s="152">
        <v>7130311008</v>
      </c>
      <c r="D32" s="86" t="s">
        <v>1014</v>
      </c>
      <c r="E32" s="86">
        <v>2104</v>
      </c>
      <c r="F32" s="88">
        <f>VLOOKUP(C32,'SOR RATE'!A:D,4,0)/1000</f>
        <v>15.99</v>
      </c>
      <c r="G32" s="88">
        <f t="shared" si="0"/>
        <v>33642.96</v>
      </c>
    </row>
    <row r="33" spans="1:7" ht="14.25">
      <c r="A33" s="86">
        <v>16</v>
      </c>
      <c r="B33" s="85" t="s">
        <v>303</v>
      </c>
      <c r="C33" s="152">
        <v>7130830053</v>
      </c>
      <c r="D33" s="330" t="s">
        <v>307</v>
      </c>
      <c r="E33" s="86">
        <v>1030</v>
      </c>
      <c r="F33" s="88">
        <f>VLOOKUP(C33,'SOR RATE'!A:D,4,0)/1000</f>
        <v>13.002</v>
      </c>
      <c r="G33" s="88">
        <f t="shared" si="0"/>
        <v>13392.060000000001</v>
      </c>
    </row>
    <row r="34" spans="1:9" ht="15">
      <c r="A34" s="14">
        <v>17</v>
      </c>
      <c r="B34" s="97" t="s">
        <v>937</v>
      </c>
      <c r="C34" s="14"/>
      <c r="D34" s="86"/>
      <c r="E34" s="86"/>
      <c r="F34" s="86"/>
      <c r="G34" s="129">
        <f>SUM(G9:G33)</f>
        <v>181620.13</v>
      </c>
      <c r="H34" s="193"/>
      <c r="I34" s="19"/>
    </row>
    <row r="35" spans="1:9" ht="15">
      <c r="A35" s="145">
        <v>18</v>
      </c>
      <c r="B35" s="90" t="s">
        <v>936</v>
      </c>
      <c r="C35" s="238"/>
      <c r="D35" s="239"/>
      <c r="E35" s="239"/>
      <c r="F35" s="86">
        <v>0.09</v>
      </c>
      <c r="G35" s="88">
        <f>G34*F35</f>
        <v>16345.8117</v>
      </c>
      <c r="H35" s="193"/>
      <c r="I35" s="252"/>
    </row>
    <row r="36" spans="1:7" ht="18" customHeight="1">
      <c r="A36" s="86">
        <v>19</v>
      </c>
      <c r="B36" s="85" t="s">
        <v>304</v>
      </c>
      <c r="C36" s="86"/>
      <c r="D36" s="86" t="s">
        <v>1013</v>
      </c>
      <c r="E36" s="86">
        <v>2</v>
      </c>
      <c r="F36" s="88">
        <f>132*1.11*1.086275*1.1112*1.0685</f>
        <v>188.97460830432362</v>
      </c>
      <c r="G36" s="88">
        <f>F36*E36</f>
        <v>377.94921660864725</v>
      </c>
    </row>
    <row r="37" spans="1:7" ht="16.5" customHeight="1">
      <c r="A37" s="86">
        <v>20</v>
      </c>
      <c r="B37" s="85" t="s">
        <v>756</v>
      </c>
      <c r="C37" s="86"/>
      <c r="D37" s="86" t="s">
        <v>28</v>
      </c>
      <c r="E37" s="86">
        <v>0.5</v>
      </c>
      <c r="F37" s="119">
        <f>1664*1.27*1.0891*1.086275*1.1112*1.0685</f>
        <v>2968.460981603261</v>
      </c>
      <c r="G37" s="88">
        <f>F37*E37</f>
        <v>1484.2304908016306</v>
      </c>
    </row>
    <row r="38" spans="1:8" ht="15.75">
      <c r="A38" s="86">
        <v>21</v>
      </c>
      <c r="B38" s="85" t="s">
        <v>329</v>
      </c>
      <c r="C38" s="86"/>
      <c r="D38" s="86"/>
      <c r="E38" s="86"/>
      <c r="F38" s="86"/>
      <c r="G38" s="88">
        <v>35526.38</v>
      </c>
      <c r="H38" s="21"/>
    </row>
    <row r="39" spans="1:7" ht="30" customHeight="1">
      <c r="A39" s="86">
        <v>22</v>
      </c>
      <c r="B39" s="85" t="s">
        <v>306</v>
      </c>
      <c r="C39" s="86"/>
      <c r="D39" s="86"/>
      <c r="E39" s="86"/>
      <c r="F39" s="86"/>
      <c r="G39" s="88">
        <f>1.1*2000*1.2*1.1*1.1797*1.1402*0.9368</f>
        <v>3659.283944688769</v>
      </c>
    </row>
    <row r="40" spans="1:8" ht="15">
      <c r="A40" s="14">
        <v>23</v>
      </c>
      <c r="B40" s="97" t="s">
        <v>938</v>
      </c>
      <c r="C40" s="86"/>
      <c r="D40" s="86"/>
      <c r="E40" s="86"/>
      <c r="F40" s="86"/>
      <c r="G40" s="129">
        <f>G34+G35+G36+G37+G38+G39</f>
        <v>239013.78535209905</v>
      </c>
      <c r="H40" s="195"/>
    </row>
    <row r="41" spans="1:8" ht="28.5">
      <c r="A41" s="86">
        <v>24</v>
      </c>
      <c r="B41" s="90" t="s">
        <v>939</v>
      </c>
      <c r="C41" s="86"/>
      <c r="D41" s="86"/>
      <c r="E41" s="86"/>
      <c r="F41" s="86">
        <v>0.11</v>
      </c>
      <c r="G41" s="88">
        <f>G34*F41</f>
        <v>19978.2143</v>
      </c>
      <c r="H41" s="195"/>
    </row>
    <row r="42" spans="1:9" ht="14.25">
      <c r="A42" s="86">
        <v>25</v>
      </c>
      <c r="B42" s="85" t="s">
        <v>1143</v>
      </c>
      <c r="C42" s="86"/>
      <c r="D42" s="86"/>
      <c r="E42" s="86"/>
      <c r="F42" s="86"/>
      <c r="G42" s="88">
        <f>G40+G41</f>
        <v>258991.99965209904</v>
      </c>
      <c r="I42" s="171"/>
    </row>
    <row r="43" spans="1:7" ht="17.25" customHeight="1">
      <c r="A43" s="14">
        <v>26</v>
      </c>
      <c r="B43" s="148" t="s">
        <v>1144</v>
      </c>
      <c r="C43" s="86"/>
      <c r="D43" s="86"/>
      <c r="E43" s="86"/>
      <c r="F43" s="86"/>
      <c r="G43" s="129">
        <f>ROUND(G42,0)</f>
        <v>258992</v>
      </c>
    </row>
    <row r="44" spans="1:7" ht="12.75">
      <c r="A44" s="349"/>
      <c r="B44" s="68"/>
      <c r="C44" s="42"/>
      <c r="D44" s="325"/>
      <c r="E44" s="325"/>
      <c r="F44" s="325"/>
      <c r="G44" s="231"/>
    </row>
    <row r="45" spans="1:7" ht="42.75" customHeight="1">
      <c r="A45" s="878" t="s">
        <v>1124</v>
      </c>
      <c r="B45" s="880" t="s">
        <v>1206</v>
      </c>
      <c r="C45" s="880"/>
      <c r="D45" s="880"/>
      <c r="E45" s="880"/>
      <c r="F45" s="880"/>
      <c r="G45" s="31"/>
    </row>
    <row r="46" spans="1:7" ht="28.5" customHeight="1">
      <c r="A46" s="879"/>
      <c r="B46" s="872" t="s">
        <v>1207</v>
      </c>
      <c r="C46" s="872"/>
      <c r="D46" s="872"/>
      <c r="E46" s="872"/>
      <c r="F46" s="872"/>
      <c r="G46" s="31"/>
    </row>
    <row r="66" spans="2:3" ht="15.75">
      <c r="B66" s="854" t="s">
        <v>1040</v>
      </c>
      <c r="C66" s="854"/>
    </row>
    <row r="67" ht="12.75">
      <c r="C67" s="2"/>
    </row>
    <row r="68" spans="2:4" ht="14.25">
      <c r="B68" s="588" t="s">
        <v>49</v>
      </c>
      <c r="C68" s="163">
        <v>7130820155</v>
      </c>
      <c r="D68" s="192" t="s">
        <v>26</v>
      </c>
    </row>
    <row r="69" ht="12.75">
      <c r="C69" s="2"/>
    </row>
  </sheetData>
  <sheetProtection/>
  <mergeCells count="10">
    <mergeCell ref="B1:C1"/>
    <mergeCell ref="B3:F3"/>
    <mergeCell ref="F5:G5"/>
    <mergeCell ref="B46:F46"/>
    <mergeCell ref="B66:C66"/>
    <mergeCell ref="A20:A22"/>
    <mergeCell ref="A23:A29"/>
    <mergeCell ref="A30:A31"/>
    <mergeCell ref="A45:A46"/>
    <mergeCell ref="B45:F45"/>
  </mergeCells>
  <printOptions horizontalCentered="1"/>
  <pageMargins left="0.97" right="0.15" top="0.75" bottom="0.32" header="0.41" footer="0.16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69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140625" style="23" customWidth="1"/>
    <col min="2" max="2" width="36.57421875" style="2" customWidth="1"/>
    <col min="3" max="3" width="14.28125" style="348" customWidth="1"/>
    <col min="4" max="4" width="7.140625" style="2" customWidth="1"/>
    <col min="5" max="5" width="8.140625" style="2" customWidth="1"/>
    <col min="6" max="6" width="6.7109375" style="2" customWidth="1"/>
    <col min="7" max="7" width="11.7109375" style="2" customWidth="1"/>
    <col min="8" max="8" width="7.421875" style="2" customWidth="1"/>
    <col min="9" max="9" width="12.00390625" style="2" bestFit="1" customWidth="1"/>
    <col min="10" max="10" width="6.7109375" style="2" bestFit="1" customWidth="1"/>
    <col min="11" max="11" width="11.7109375" style="2" customWidth="1"/>
    <col min="12" max="12" width="6.7109375" style="2" bestFit="1" customWidth="1"/>
    <col min="13" max="13" width="12.00390625" style="2" customWidth="1"/>
    <col min="14" max="14" width="6.57421875" style="2" customWidth="1"/>
    <col min="15" max="15" width="12.00390625" style="2" customWidth="1"/>
    <col min="16" max="16" width="11.00390625" style="2" customWidth="1"/>
    <col min="17" max="17" width="36.140625" style="2" customWidth="1"/>
    <col min="18" max="18" width="12.57421875" style="2" customWidth="1"/>
    <col min="19" max="16384" width="9.140625" style="2" customWidth="1"/>
  </cols>
  <sheetData>
    <row r="1" spans="2:15" ht="18">
      <c r="B1" s="42"/>
      <c r="C1" s="42"/>
      <c r="D1" s="42"/>
      <c r="E1" s="780" t="s">
        <v>696</v>
      </c>
      <c r="F1" s="780"/>
      <c r="G1" s="780"/>
      <c r="H1" s="780"/>
      <c r="I1" s="780"/>
      <c r="J1" s="42"/>
      <c r="K1" s="42"/>
      <c r="L1" s="42"/>
      <c r="M1" s="42"/>
      <c r="N1" s="42"/>
      <c r="O1" s="42"/>
    </row>
    <row r="3" spans="2:15" ht="34.5" customHeight="1">
      <c r="B3" s="781" t="s">
        <v>697</v>
      </c>
      <c r="C3" s="781"/>
      <c r="D3" s="781"/>
      <c r="E3" s="781"/>
      <c r="F3" s="781"/>
      <c r="G3" s="781"/>
      <c r="H3" s="781"/>
      <c r="I3" s="781"/>
      <c r="J3" s="781"/>
      <c r="K3" s="781"/>
      <c r="L3" s="44"/>
      <c r="M3" s="44"/>
      <c r="N3" s="44"/>
      <c r="O3" s="44"/>
    </row>
    <row r="4" spans="1:15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722" t="s">
        <v>1003</v>
      </c>
    </row>
    <row r="6" spans="1:15" ht="12.75">
      <c r="A6" s="52"/>
      <c r="B6" s="38"/>
      <c r="C6" s="32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60.75" customHeight="1">
      <c r="A7" s="782" t="s">
        <v>198</v>
      </c>
      <c r="B7" s="782" t="s">
        <v>23</v>
      </c>
      <c r="C7" s="783" t="s">
        <v>698</v>
      </c>
      <c r="D7" s="784" t="s">
        <v>24</v>
      </c>
      <c r="E7" s="782" t="s">
        <v>1010</v>
      </c>
      <c r="F7" s="782" t="s">
        <v>1313</v>
      </c>
      <c r="G7" s="782"/>
      <c r="H7" s="782" t="s">
        <v>1314</v>
      </c>
      <c r="I7" s="782"/>
      <c r="J7" s="782" t="s">
        <v>1315</v>
      </c>
      <c r="K7" s="782"/>
      <c r="L7" s="782" t="s">
        <v>1316</v>
      </c>
      <c r="M7" s="782"/>
      <c r="N7" s="782" t="s">
        <v>1317</v>
      </c>
      <c r="O7" s="782"/>
    </row>
    <row r="8" spans="1:15" ht="15">
      <c r="A8" s="782"/>
      <c r="B8" s="782"/>
      <c r="C8" s="783"/>
      <c r="D8" s="784"/>
      <c r="E8" s="782"/>
      <c r="F8" s="36" t="s">
        <v>25</v>
      </c>
      <c r="G8" s="36" t="s">
        <v>1047</v>
      </c>
      <c r="H8" s="36" t="s">
        <v>25</v>
      </c>
      <c r="I8" s="36" t="s">
        <v>1047</v>
      </c>
      <c r="J8" s="36" t="s">
        <v>25</v>
      </c>
      <c r="K8" s="36" t="s">
        <v>1047</v>
      </c>
      <c r="L8" s="36" t="s">
        <v>25</v>
      </c>
      <c r="M8" s="36" t="s">
        <v>1011</v>
      </c>
      <c r="N8" s="36" t="s">
        <v>25</v>
      </c>
      <c r="O8" s="36" t="s">
        <v>1011</v>
      </c>
    </row>
    <row r="9" spans="1:15" s="43" customFormat="1" ht="15">
      <c r="A9" s="283">
        <v>1</v>
      </c>
      <c r="B9" s="283">
        <v>2</v>
      </c>
      <c r="C9" s="283">
        <v>3</v>
      </c>
      <c r="D9" s="283">
        <v>4</v>
      </c>
      <c r="E9" s="283">
        <v>5</v>
      </c>
      <c r="F9" s="283">
        <v>6</v>
      </c>
      <c r="G9" s="283">
        <v>7</v>
      </c>
      <c r="H9" s="283">
        <v>8</v>
      </c>
      <c r="I9" s="283">
        <v>9</v>
      </c>
      <c r="J9" s="283">
        <v>10</v>
      </c>
      <c r="K9" s="283">
        <v>11</v>
      </c>
      <c r="L9" s="283">
        <v>12</v>
      </c>
      <c r="M9" s="283">
        <v>13</v>
      </c>
      <c r="N9" s="283">
        <v>14</v>
      </c>
      <c r="O9" s="283">
        <v>15</v>
      </c>
    </row>
    <row r="10" spans="1:15" ht="15" customHeight="1">
      <c r="A10" s="87">
        <v>1</v>
      </c>
      <c r="B10" s="243" t="s">
        <v>1318</v>
      </c>
      <c r="C10" s="152">
        <v>7130800012</v>
      </c>
      <c r="D10" s="330" t="s">
        <v>26</v>
      </c>
      <c r="E10" s="89">
        <f>VLOOKUP(C10,'SOR RATE'!A:D,4,0)</f>
        <v>1654</v>
      </c>
      <c r="F10" s="87">
        <v>17</v>
      </c>
      <c r="G10" s="89">
        <f>F10*E10</f>
        <v>28118</v>
      </c>
      <c r="H10" s="87">
        <v>17</v>
      </c>
      <c r="I10" s="89">
        <f>H10*E10</f>
        <v>28118</v>
      </c>
      <c r="J10" s="87">
        <v>17</v>
      </c>
      <c r="K10" s="89">
        <f>J10*E10</f>
        <v>28118</v>
      </c>
      <c r="L10" s="87">
        <v>17</v>
      </c>
      <c r="M10" s="89">
        <f>L10*E10</f>
        <v>28118</v>
      </c>
      <c r="N10" s="87">
        <v>17</v>
      </c>
      <c r="O10" s="89">
        <f>N10*E10</f>
        <v>28118</v>
      </c>
    </row>
    <row r="11" spans="1:15" ht="16.5" customHeight="1">
      <c r="A11" s="87">
        <v>2</v>
      </c>
      <c r="B11" s="243" t="s">
        <v>1319</v>
      </c>
      <c r="C11" s="152">
        <v>7130810461</v>
      </c>
      <c r="D11" s="330" t="s">
        <v>26</v>
      </c>
      <c r="E11" s="89">
        <f>VLOOKUP(C11,'SOR RATE'!A:D,4,0)</f>
        <v>854</v>
      </c>
      <c r="F11" s="87">
        <v>22</v>
      </c>
      <c r="G11" s="89">
        <f>F11*E11</f>
        <v>18788</v>
      </c>
      <c r="H11" s="87">
        <v>22</v>
      </c>
      <c r="I11" s="89">
        <f>H11*E11</f>
        <v>18788</v>
      </c>
      <c r="J11" s="87">
        <v>22</v>
      </c>
      <c r="K11" s="89">
        <f>J11*E11</f>
        <v>18788</v>
      </c>
      <c r="L11" s="87">
        <v>22</v>
      </c>
      <c r="M11" s="89">
        <f>L11*E11</f>
        <v>18788</v>
      </c>
      <c r="N11" s="87">
        <v>22</v>
      </c>
      <c r="O11" s="89">
        <f>N11*E11</f>
        <v>18788</v>
      </c>
    </row>
    <row r="12" spans="1:15" ht="30.75" customHeight="1">
      <c r="A12" s="199">
        <v>3</v>
      </c>
      <c r="B12" s="147" t="s">
        <v>1320</v>
      </c>
      <c r="C12" s="152">
        <v>7130820106</v>
      </c>
      <c r="D12" s="331" t="s">
        <v>26</v>
      </c>
      <c r="E12" s="89">
        <f>VLOOKUP(C12,'SOR RATE'!A:D,4,0)</f>
        <v>10</v>
      </c>
      <c r="F12" s="87">
        <v>88</v>
      </c>
      <c r="G12" s="89">
        <f>F12*E12</f>
        <v>880</v>
      </c>
      <c r="H12" s="87">
        <v>88</v>
      </c>
      <c r="I12" s="89">
        <f>H12*E12</f>
        <v>880</v>
      </c>
      <c r="J12" s="87">
        <v>88</v>
      </c>
      <c r="K12" s="89">
        <f>J12*E12</f>
        <v>880</v>
      </c>
      <c r="L12" s="87">
        <v>88</v>
      </c>
      <c r="M12" s="89">
        <f>L12*E12</f>
        <v>880</v>
      </c>
      <c r="N12" s="87">
        <v>88</v>
      </c>
      <c r="O12" s="89">
        <f>N12*E12</f>
        <v>880</v>
      </c>
    </row>
    <row r="13" spans="1:15" ht="29.25" customHeight="1">
      <c r="A13" s="87">
        <v>4</v>
      </c>
      <c r="B13" s="147" t="s">
        <v>1321</v>
      </c>
      <c r="C13" s="152">
        <v>7130820216</v>
      </c>
      <c r="D13" s="330" t="s">
        <v>26</v>
      </c>
      <c r="E13" s="89">
        <f>VLOOKUP(C13,'SOR RATE'!A:D,4,0)</f>
        <v>34</v>
      </c>
      <c r="F13" s="87">
        <v>30</v>
      </c>
      <c r="G13" s="89">
        <f>F13*E13</f>
        <v>1020</v>
      </c>
      <c r="H13" s="87">
        <v>30</v>
      </c>
      <c r="I13" s="89">
        <f>H13*E13</f>
        <v>1020</v>
      </c>
      <c r="J13" s="87">
        <v>30</v>
      </c>
      <c r="K13" s="89">
        <f>J13*E13</f>
        <v>1020</v>
      </c>
      <c r="L13" s="87">
        <v>30</v>
      </c>
      <c r="M13" s="89">
        <f>L13*E13</f>
        <v>1020</v>
      </c>
      <c r="N13" s="87">
        <v>30</v>
      </c>
      <c r="O13" s="89">
        <f>N13*E13</f>
        <v>1020</v>
      </c>
    </row>
    <row r="14" spans="1:15" ht="16.5" customHeight="1">
      <c r="A14" s="87">
        <v>5</v>
      </c>
      <c r="B14" s="243" t="s">
        <v>1322</v>
      </c>
      <c r="C14" s="152">
        <v>7130820201</v>
      </c>
      <c r="D14" s="330" t="s">
        <v>26</v>
      </c>
      <c r="E14" s="89">
        <f>VLOOKUP(C14,'SOR RATE'!A:D,4,0)</f>
        <v>32</v>
      </c>
      <c r="F14" s="87">
        <v>17</v>
      </c>
      <c r="G14" s="89">
        <f>F14*E14</f>
        <v>544</v>
      </c>
      <c r="H14" s="87">
        <v>17</v>
      </c>
      <c r="I14" s="89">
        <f>H14*E14</f>
        <v>544</v>
      </c>
      <c r="J14" s="87">
        <v>17</v>
      </c>
      <c r="K14" s="89">
        <f>J14*E14</f>
        <v>544</v>
      </c>
      <c r="L14" s="87">
        <v>17</v>
      </c>
      <c r="M14" s="89">
        <f>L14*E14</f>
        <v>544</v>
      </c>
      <c r="N14" s="87">
        <v>17</v>
      </c>
      <c r="O14" s="89">
        <f>N14*E14</f>
        <v>544</v>
      </c>
    </row>
    <row r="15" spans="1:15" ht="14.25">
      <c r="A15" s="786">
        <v>6</v>
      </c>
      <c r="B15" s="284" t="s">
        <v>1323</v>
      </c>
      <c r="C15" s="284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1:15" ht="14.25">
      <c r="A16" s="787"/>
      <c r="B16" s="243" t="s">
        <v>1324</v>
      </c>
      <c r="C16" s="152">
        <v>7130830057</v>
      </c>
      <c r="D16" s="330" t="s">
        <v>307</v>
      </c>
      <c r="E16" s="89">
        <f>VLOOKUP(C16,'SOR RATE'!A:D,4,0)/1000</f>
        <v>33.544</v>
      </c>
      <c r="F16" s="87">
        <v>4120</v>
      </c>
      <c r="G16" s="89">
        <f>F16*E16</f>
        <v>138201.28</v>
      </c>
      <c r="H16" s="156">
        <v>3090</v>
      </c>
      <c r="I16" s="89">
        <f>H16*E16</f>
        <v>103650.95999999999</v>
      </c>
      <c r="J16" s="156" t="s">
        <v>27</v>
      </c>
      <c r="K16" s="89"/>
      <c r="L16" s="156" t="s">
        <v>27</v>
      </c>
      <c r="M16" s="89"/>
      <c r="N16" s="156" t="s">
        <v>27</v>
      </c>
      <c r="O16" s="89"/>
    </row>
    <row r="17" spans="1:15" ht="14.25">
      <c r="A17" s="787"/>
      <c r="B17" s="243" t="s">
        <v>1325</v>
      </c>
      <c r="C17" s="152">
        <v>7130830055</v>
      </c>
      <c r="D17" s="330" t="s">
        <v>307</v>
      </c>
      <c r="E17" s="89">
        <f>VLOOKUP(C17,'SOR RATE'!A:D,4,0)/1000</f>
        <v>20.281</v>
      </c>
      <c r="F17" s="156" t="s">
        <v>27</v>
      </c>
      <c r="G17" s="89"/>
      <c r="H17" s="156" t="s">
        <v>27</v>
      </c>
      <c r="I17" s="89"/>
      <c r="J17" s="156">
        <v>4120</v>
      </c>
      <c r="K17" s="89">
        <f aca="true" t="shared" si="0" ref="K17:K24">J17*E17</f>
        <v>83557.72</v>
      </c>
      <c r="L17" s="87">
        <v>3090</v>
      </c>
      <c r="M17" s="89">
        <f aca="true" t="shared" si="1" ref="M17:M24">L17*E17</f>
        <v>62668.28999999999</v>
      </c>
      <c r="N17" s="156" t="s">
        <v>27</v>
      </c>
      <c r="O17" s="89"/>
    </row>
    <row r="18" spans="1:15" ht="14.25">
      <c r="A18" s="788"/>
      <c r="B18" s="243" t="s">
        <v>1326</v>
      </c>
      <c r="C18" s="152">
        <v>7130830053</v>
      </c>
      <c r="D18" s="330" t="s">
        <v>307</v>
      </c>
      <c r="E18" s="89">
        <f>VLOOKUP(C18,'SOR RATE'!A:D,4,0)/1000</f>
        <v>13.002</v>
      </c>
      <c r="F18" s="87">
        <v>1030</v>
      </c>
      <c r="G18" s="89">
        <f aca="true" t="shared" si="2" ref="G18:G24">F18*E18</f>
        <v>13392.060000000001</v>
      </c>
      <c r="H18" s="153">
        <v>2060</v>
      </c>
      <c r="I18" s="89">
        <f aca="true" t="shared" si="3" ref="I18:I24">H18*E18</f>
        <v>26784.120000000003</v>
      </c>
      <c r="J18" s="153">
        <v>1030</v>
      </c>
      <c r="K18" s="89">
        <f t="shared" si="0"/>
        <v>13392.060000000001</v>
      </c>
      <c r="L18" s="153">
        <v>2060</v>
      </c>
      <c r="M18" s="89">
        <f t="shared" si="1"/>
        <v>26784.120000000003</v>
      </c>
      <c r="N18" s="153">
        <v>5150</v>
      </c>
      <c r="O18" s="89">
        <f aca="true" t="shared" si="4" ref="O18:O24">N18*E18</f>
        <v>66960.3</v>
      </c>
    </row>
    <row r="19" spans="1:15" ht="14.25">
      <c r="A19" s="786">
        <v>7</v>
      </c>
      <c r="B19" s="243" t="s">
        <v>776</v>
      </c>
      <c r="C19" s="152">
        <v>7130860032</v>
      </c>
      <c r="D19" s="330" t="s">
        <v>26</v>
      </c>
      <c r="E19" s="89">
        <f>VLOOKUP(C19,'SOR RATE'!A:D,4,0)</f>
        <v>387</v>
      </c>
      <c r="F19" s="87">
        <v>9</v>
      </c>
      <c r="G19" s="89">
        <f t="shared" si="2"/>
        <v>3483</v>
      </c>
      <c r="H19" s="87">
        <v>9</v>
      </c>
      <c r="I19" s="89">
        <f t="shared" si="3"/>
        <v>3483</v>
      </c>
      <c r="J19" s="87">
        <v>9</v>
      </c>
      <c r="K19" s="89">
        <f t="shared" si="0"/>
        <v>3483</v>
      </c>
      <c r="L19" s="87">
        <v>9</v>
      </c>
      <c r="M19" s="89">
        <f t="shared" si="1"/>
        <v>3483</v>
      </c>
      <c r="N19" s="87">
        <v>9</v>
      </c>
      <c r="O19" s="89">
        <f t="shared" si="4"/>
        <v>3483</v>
      </c>
    </row>
    <row r="20" spans="1:15" ht="14.25">
      <c r="A20" s="787"/>
      <c r="B20" s="243" t="s">
        <v>1327</v>
      </c>
      <c r="C20" s="152">
        <v>7130860077</v>
      </c>
      <c r="D20" s="330" t="s">
        <v>32</v>
      </c>
      <c r="E20" s="89">
        <f>VLOOKUP(C20,'SOR RATE'!A:D,4,0)/1000</f>
        <v>61.6</v>
      </c>
      <c r="F20" s="87">
        <v>54</v>
      </c>
      <c r="G20" s="89">
        <f t="shared" si="2"/>
        <v>3326.4</v>
      </c>
      <c r="H20" s="87">
        <v>54</v>
      </c>
      <c r="I20" s="89">
        <f t="shared" si="3"/>
        <v>3326.4</v>
      </c>
      <c r="J20" s="87">
        <v>54</v>
      </c>
      <c r="K20" s="89">
        <f t="shared" si="0"/>
        <v>3326.4</v>
      </c>
      <c r="L20" s="87">
        <v>54</v>
      </c>
      <c r="M20" s="89">
        <f t="shared" si="1"/>
        <v>3326.4</v>
      </c>
      <c r="N20" s="87">
        <v>54</v>
      </c>
      <c r="O20" s="89">
        <f t="shared" si="4"/>
        <v>3326.4</v>
      </c>
    </row>
    <row r="21" spans="1:15" ht="14.25">
      <c r="A21" s="787"/>
      <c r="B21" s="243" t="s">
        <v>782</v>
      </c>
      <c r="C21" s="152">
        <v>7130810026</v>
      </c>
      <c r="D21" s="330" t="s">
        <v>26</v>
      </c>
      <c r="E21" s="89">
        <f>VLOOKUP(C21,'SOR RATE'!A:D,4,0)</f>
        <v>142</v>
      </c>
      <c r="F21" s="87">
        <v>9</v>
      </c>
      <c r="G21" s="89">
        <f t="shared" si="2"/>
        <v>1278</v>
      </c>
      <c r="H21" s="87">
        <v>9</v>
      </c>
      <c r="I21" s="89">
        <f t="shared" si="3"/>
        <v>1278</v>
      </c>
      <c r="J21" s="87">
        <v>9</v>
      </c>
      <c r="K21" s="89">
        <f t="shared" si="0"/>
        <v>1278</v>
      </c>
      <c r="L21" s="87">
        <v>9</v>
      </c>
      <c r="M21" s="89">
        <f t="shared" si="1"/>
        <v>1278</v>
      </c>
      <c r="N21" s="87">
        <v>9</v>
      </c>
      <c r="O21" s="89">
        <f t="shared" si="4"/>
        <v>1278</v>
      </c>
    </row>
    <row r="22" spans="1:15" ht="14.25">
      <c r="A22" s="788"/>
      <c r="B22" s="243" t="s">
        <v>1328</v>
      </c>
      <c r="C22" s="152">
        <v>7130820117</v>
      </c>
      <c r="D22" s="330" t="s">
        <v>26</v>
      </c>
      <c r="E22" s="89">
        <f>VLOOKUP(C22,'SOR RATE'!A:D,4,0)</f>
        <v>9</v>
      </c>
      <c r="F22" s="87">
        <v>9</v>
      </c>
      <c r="G22" s="89">
        <f t="shared" si="2"/>
        <v>81</v>
      </c>
      <c r="H22" s="87">
        <v>9</v>
      </c>
      <c r="I22" s="89">
        <f t="shared" si="3"/>
        <v>81</v>
      </c>
      <c r="J22" s="87">
        <v>9</v>
      </c>
      <c r="K22" s="89">
        <f t="shared" si="0"/>
        <v>81</v>
      </c>
      <c r="L22" s="87">
        <v>9</v>
      </c>
      <c r="M22" s="89">
        <f t="shared" si="1"/>
        <v>81</v>
      </c>
      <c r="N22" s="87">
        <v>9</v>
      </c>
      <c r="O22" s="89">
        <f t="shared" si="4"/>
        <v>81</v>
      </c>
    </row>
    <row r="23" spans="1:15" ht="14.25">
      <c r="A23" s="87">
        <v>8</v>
      </c>
      <c r="B23" s="243" t="s">
        <v>1329</v>
      </c>
      <c r="C23" s="152">
        <v>7130820018</v>
      </c>
      <c r="D23" s="330" t="s">
        <v>26</v>
      </c>
      <c r="E23" s="89">
        <f>VLOOKUP(C23,'SOR RATE'!A:D,4,0)</f>
        <v>3</v>
      </c>
      <c r="F23" s="87">
        <v>44</v>
      </c>
      <c r="G23" s="89">
        <f t="shared" si="2"/>
        <v>132</v>
      </c>
      <c r="H23" s="87">
        <v>44</v>
      </c>
      <c r="I23" s="89">
        <f t="shared" si="3"/>
        <v>132</v>
      </c>
      <c r="J23" s="87">
        <v>44</v>
      </c>
      <c r="K23" s="89">
        <f t="shared" si="0"/>
        <v>132</v>
      </c>
      <c r="L23" s="87">
        <v>44</v>
      </c>
      <c r="M23" s="89">
        <f t="shared" si="1"/>
        <v>132</v>
      </c>
      <c r="N23" s="87">
        <v>44</v>
      </c>
      <c r="O23" s="89">
        <f t="shared" si="4"/>
        <v>132</v>
      </c>
    </row>
    <row r="24" spans="1:15" ht="14.25">
      <c r="A24" s="199">
        <v>9</v>
      </c>
      <c r="B24" s="332" t="s">
        <v>779</v>
      </c>
      <c r="C24" s="152">
        <v>7130830006</v>
      </c>
      <c r="D24" s="330" t="s">
        <v>32</v>
      </c>
      <c r="E24" s="89">
        <f>VLOOKUP(C24,'SOR RATE'!A:D,4,0)</f>
        <v>139</v>
      </c>
      <c r="F24" s="87">
        <v>3.5</v>
      </c>
      <c r="G24" s="89">
        <f t="shared" si="2"/>
        <v>486.5</v>
      </c>
      <c r="H24" s="87">
        <v>3.5</v>
      </c>
      <c r="I24" s="89">
        <f t="shared" si="3"/>
        <v>486.5</v>
      </c>
      <c r="J24" s="87">
        <v>3.5</v>
      </c>
      <c r="K24" s="89">
        <f t="shared" si="0"/>
        <v>486.5</v>
      </c>
      <c r="L24" s="87">
        <v>3.5</v>
      </c>
      <c r="M24" s="89">
        <f t="shared" si="1"/>
        <v>486.5</v>
      </c>
      <c r="N24" s="87">
        <v>3.5</v>
      </c>
      <c r="O24" s="89">
        <f t="shared" si="4"/>
        <v>486.5</v>
      </c>
    </row>
    <row r="25" spans="1:15" ht="42.75">
      <c r="A25" s="786">
        <v>10</v>
      </c>
      <c r="B25" s="147" t="s">
        <v>1330</v>
      </c>
      <c r="C25" s="333"/>
      <c r="D25" s="298" t="s">
        <v>1331</v>
      </c>
      <c r="E25" s="89"/>
      <c r="F25" s="87"/>
      <c r="G25" s="89"/>
      <c r="H25" s="87"/>
      <c r="I25" s="89"/>
      <c r="J25" s="87"/>
      <c r="K25" s="89"/>
      <c r="L25" s="87"/>
      <c r="M25" s="89"/>
      <c r="N25" s="87"/>
      <c r="O25" s="89"/>
    </row>
    <row r="26" spans="1:15" ht="18" customHeight="1">
      <c r="A26" s="788"/>
      <c r="B26" s="243" t="s">
        <v>777</v>
      </c>
      <c r="C26" s="152">
        <v>7130200401</v>
      </c>
      <c r="D26" s="87" t="s">
        <v>32</v>
      </c>
      <c r="E26" s="89">
        <f>VLOOKUP(C26,'SOR RATE'!A:D,4,0)/50</f>
        <v>5.36</v>
      </c>
      <c r="F26" s="87">
        <v>551.2</v>
      </c>
      <c r="G26" s="89">
        <f>F26*E26</f>
        <v>2954.4320000000002</v>
      </c>
      <c r="H26" s="87">
        <v>551.2</v>
      </c>
      <c r="I26" s="89">
        <f>H26*E26</f>
        <v>2954.4320000000002</v>
      </c>
      <c r="J26" s="87">
        <v>551.2</v>
      </c>
      <c r="K26" s="89">
        <f>J26*E26</f>
        <v>2954.4320000000002</v>
      </c>
      <c r="L26" s="87">
        <v>551.2</v>
      </c>
      <c r="M26" s="89">
        <f>L26*E26</f>
        <v>2954.4320000000002</v>
      </c>
      <c r="N26" s="87">
        <v>551.2</v>
      </c>
      <c r="O26" s="89">
        <f>N26*E26</f>
        <v>2954.4320000000002</v>
      </c>
    </row>
    <row r="27" spans="1:15" ht="14.25">
      <c r="A27" s="786">
        <v>11</v>
      </c>
      <c r="B27" s="334" t="s">
        <v>1332</v>
      </c>
      <c r="C27" s="152"/>
      <c r="D27" s="330" t="s">
        <v>32</v>
      </c>
      <c r="E27" s="89"/>
      <c r="F27" s="87">
        <v>35</v>
      </c>
      <c r="G27" s="89"/>
      <c r="H27" s="87">
        <v>35</v>
      </c>
      <c r="I27" s="89"/>
      <c r="J27" s="87">
        <v>35</v>
      </c>
      <c r="K27" s="89"/>
      <c r="L27" s="87">
        <v>35</v>
      </c>
      <c r="M27" s="89"/>
      <c r="N27" s="87">
        <v>35</v>
      </c>
      <c r="O27" s="89"/>
    </row>
    <row r="28" spans="1:15" ht="14.25">
      <c r="A28" s="787"/>
      <c r="B28" s="233" t="s">
        <v>1333</v>
      </c>
      <c r="C28" s="152">
        <v>7130620573</v>
      </c>
      <c r="D28" s="330" t="s">
        <v>32</v>
      </c>
      <c r="E28" s="89">
        <f>VLOOKUP(C28,'SOR RATE'!A:D,4,0)</f>
        <v>64</v>
      </c>
      <c r="F28" s="87">
        <v>10</v>
      </c>
      <c r="G28" s="89">
        <f aca="true" t="shared" si="5" ref="G28:G34">F28*E28</f>
        <v>640</v>
      </c>
      <c r="H28" s="87">
        <v>10</v>
      </c>
      <c r="I28" s="89">
        <f aca="true" t="shared" si="6" ref="I28:I34">H28*E28</f>
        <v>640</v>
      </c>
      <c r="J28" s="87">
        <v>10</v>
      </c>
      <c r="K28" s="89">
        <f aca="true" t="shared" si="7" ref="K28:K34">J28*E28</f>
        <v>640</v>
      </c>
      <c r="L28" s="87">
        <v>10</v>
      </c>
      <c r="M28" s="89">
        <f aca="true" t="shared" si="8" ref="M28:M34">L28*E28</f>
        <v>640</v>
      </c>
      <c r="N28" s="87">
        <v>10</v>
      </c>
      <c r="O28" s="89">
        <f aca="true" t="shared" si="9" ref="O28:O34">N28*E28</f>
        <v>640</v>
      </c>
    </row>
    <row r="29" spans="1:15" ht="14.25">
      <c r="A29" s="787"/>
      <c r="B29" s="233" t="s">
        <v>1017</v>
      </c>
      <c r="C29" s="152">
        <v>7130620609</v>
      </c>
      <c r="D29" s="330" t="s">
        <v>32</v>
      </c>
      <c r="E29" s="89">
        <f>VLOOKUP(C29,'SOR RATE'!A:D,4,0)</f>
        <v>64</v>
      </c>
      <c r="F29" s="87">
        <v>5</v>
      </c>
      <c r="G29" s="89">
        <f t="shared" si="5"/>
        <v>320</v>
      </c>
      <c r="H29" s="87">
        <v>5</v>
      </c>
      <c r="I29" s="89">
        <f t="shared" si="6"/>
        <v>320</v>
      </c>
      <c r="J29" s="87">
        <v>5</v>
      </c>
      <c r="K29" s="89">
        <f t="shared" si="7"/>
        <v>320</v>
      </c>
      <c r="L29" s="87">
        <v>5</v>
      </c>
      <c r="M29" s="89">
        <f t="shared" si="8"/>
        <v>320</v>
      </c>
      <c r="N29" s="87">
        <v>5</v>
      </c>
      <c r="O29" s="89">
        <f t="shared" si="9"/>
        <v>320</v>
      </c>
    </row>
    <row r="30" spans="1:15" ht="14.25">
      <c r="A30" s="788"/>
      <c r="B30" s="233" t="s">
        <v>194</v>
      </c>
      <c r="C30" s="152">
        <v>7130620625</v>
      </c>
      <c r="D30" s="330" t="s">
        <v>32</v>
      </c>
      <c r="E30" s="89">
        <f>VLOOKUP(C30,'SOR RATE'!A:D,4,0)</f>
        <v>62</v>
      </c>
      <c r="F30" s="87">
        <v>20</v>
      </c>
      <c r="G30" s="89">
        <f t="shared" si="5"/>
        <v>1240</v>
      </c>
      <c r="H30" s="87">
        <v>20</v>
      </c>
      <c r="I30" s="89">
        <f t="shared" si="6"/>
        <v>1240</v>
      </c>
      <c r="J30" s="87">
        <v>20</v>
      </c>
      <c r="K30" s="89">
        <f t="shared" si="7"/>
        <v>1240</v>
      </c>
      <c r="L30" s="87">
        <v>20</v>
      </c>
      <c r="M30" s="89">
        <f t="shared" si="8"/>
        <v>1240</v>
      </c>
      <c r="N30" s="87">
        <v>20</v>
      </c>
      <c r="O30" s="89">
        <f t="shared" si="9"/>
        <v>1240</v>
      </c>
    </row>
    <row r="31" spans="1:15" ht="28.5">
      <c r="A31" s="199">
        <v>12</v>
      </c>
      <c r="B31" s="147" t="s">
        <v>1334</v>
      </c>
      <c r="C31" s="152">
        <v>7130870013</v>
      </c>
      <c r="D31" s="335" t="s">
        <v>26</v>
      </c>
      <c r="E31" s="89">
        <f>VLOOKUP(C31,'SOR RATE'!A:D,4,0)</f>
        <v>100</v>
      </c>
      <c r="F31" s="87">
        <v>5</v>
      </c>
      <c r="G31" s="89">
        <f t="shared" si="5"/>
        <v>500</v>
      </c>
      <c r="H31" s="87">
        <v>5</v>
      </c>
      <c r="I31" s="89">
        <f t="shared" si="6"/>
        <v>500</v>
      </c>
      <c r="J31" s="87">
        <v>5</v>
      </c>
      <c r="K31" s="89">
        <f t="shared" si="7"/>
        <v>500</v>
      </c>
      <c r="L31" s="87">
        <v>5</v>
      </c>
      <c r="M31" s="89">
        <f t="shared" si="8"/>
        <v>500</v>
      </c>
      <c r="N31" s="87">
        <v>5</v>
      </c>
      <c r="O31" s="89">
        <f t="shared" si="9"/>
        <v>500</v>
      </c>
    </row>
    <row r="32" spans="1:15" ht="14.25">
      <c r="A32" s="87">
        <v>13</v>
      </c>
      <c r="B32" s="243" t="s">
        <v>29</v>
      </c>
      <c r="C32" s="152">
        <v>7130211158</v>
      </c>
      <c r="D32" s="330" t="s">
        <v>30</v>
      </c>
      <c r="E32" s="89">
        <f>VLOOKUP(C32,'SOR RATE'!A:D,4,0)</f>
        <v>130</v>
      </c>
      <c r="F32" s="87">
        <v>2</v>
      </c>
      <c r="G32" s="89">
        <f t="shared" si="5"/>
        <v>260</v>
      </c>
      <c r="H32" s="87">
        <v>2</v>
      </c>
      <c r="I32" s="89">
        <f t="shared" si="6"/>
        <v>260</v>
      </c>
      <c r="J32" s="87">
        <v>2</v>
      </c>
      <c r="K32" s="89">
        <f t="shared" si="7"/>
        <v>260</v>
      </c>
      <c r="L32" s="87">
        <v>2</v>
      </c>
      <c r="M32" s="89">
        <f t="shared" si="8"/>
        <v>260</v>
      </c>
      <c r="N32" s="87">
        <v>2</v>
      </c>
      <c r="O32" s="89">
        <f t="shared" si="9"/>
        <v>260</v>
      </c>
    </row>
    <row r="33" spans="1:15" ht="14.25">
      <c r="A33" s="87">
        <v>14</v>
      </c>
      <c r="B33" s="243" t="s">
        <v>31</v>
      </c>
      <c r="C33" s="152">
        <v>7130210809</v>
      </c>
      <c r="D33" s="330" t="s">
        <v>30</v>
      </c>
      <c r="E33" s="89">
        <f>VLOOKUP(C33,'SOR RATE'!A:D,4,0)</f>
        <v>290</v>
      </c>
      <c r="F33" s="87">
        <v>2</v>
      </c>
      <c r="G33" s="89">
        <f t="shared" si="5"/>
        <v>580</v>
      </c>
      <c r="H33" s="87">
        <v>2</v>
      </c>
      <c r="I33" s="89">
        <f t="shared" si="6"/>
        <v>580</v>
      </c>
      <c r="J33" s="87">
        <v>2</v>
      </c>
      <c r="K33" s="89">
        <f t="shared" si="7"/>
        <v>580</v>
      </c>
      <c r="L33" s="87">
        <v>2</v>
      </c>
      <c r="M33" s="89">
        <f t="shared" si="8"/>
        <v>580</v>
      </c>
      <c r="N33" s="87">
        <v>2</v>
      </c>
      <c r="O33" s="89">
        <f t="shared" si="9"/>
        <v>580</v>
      </c>
    </row>
    <row r="34" spans="1:15" ht="14.25">
      <c r="A34" s="87">
        <v>15</v>
      </c>
      <c r="B34" s="243" t="s">
        <v>1335</v>
      </c>
      <c r="C34" s="152">
        <v>7130870043</v>
      </c>
      <c r="D34" s="330" t="s">
        <v>32</v>
      </c>
      <c r="E34" s="89">
        <f>VLOOKUP(C34,'SOR RATE'!A:D,4,0)/1000</f>
        <v>55.094</v>
      </c>
      <c r="F34" s="87">
        <v>6</v>
      </c>
      <c r="G34" s="89">
        <f t="shared" si="5"/>
        <v>330.564</v>
      </c>
      <c r="H34" s="87">
        <v>6</v>
      </c>
      <c r="I34" s="89">
        <f t="shared" si="6"/>
        <v>330.564</v>
      </c>
      <c r="J34" s="87">
        <v>6</v>
      </c>
      <c r="K34" s="89">
        <f t="shared" si="7"/>
        <v>330.564</v>
      </c>
      <c r="L34" s="87">
        <v>6</v>
      </c>
      <c r="M34" s="89">
        <f t="shared" si="8"/>
        <v>330.564</v>
      </c>
      <c r="N34" s="87">
        <v>6</v>
      </c>
      <c r="O34" s="89">
        <f t="shared" si="9"/>
        <v>330.564</v>
      </c>
    </row>
    <row r="35" spans="1:17" ht="15">
      <c r="A35" s="36">
        <v>16</v>
      </c>
      <c r="B35" s="97" t="s">
        <v>937</v>
      </c>
      <c r="C35" s="152"/>
      <c r="D35" s="330"/>
      <c r="E35" s="87"/>
      <c r="F35" s="87"/>
      <c r="G35" s="98">
        <f>SUM(G10:G34)</f>
        <v>216555.236</v>
      </c>
      <c r="H35" s="98"/>
      <c r="I35" s="98">
        <f>SUM(I10:I34)</f>
        <v>195396.976</v>
      </c>
      <c r="J35" s="98"/>
      <c r="K35" s="98">
        <f>SUM(K10:K34)</f>
        <v>161911.676</v>
      </c>
      <c r="L35" s="98"/>
      <c r="M35" s="98">
        <f>SUM(M10:M34)</f>
        <v>154414.306</v>
      </c>
      <c r="N35" s="98"/>
      <c r="O35" s="98">
        <f>SUM(O10:O34)</f>
        <v>131922.196</v>
      </c>
      <c r="P35" s="63"/>
      <c r="Q35" s="59"/>
    </row>
    <row r="36" spans="1:17" ht="17.25" customHeight="1">
      <c r="A36" s="199">
        <v>17</v>
      </c>
      <c r="B36" s="90" t="s">
        <v>936</v>
      </c>
      <c r="C36" s="157"/>
      <c r="D36" s="158"/>
      <c r="E36" s="152">
        <v>0.09</v>
      </c>
      <c r="F36" s="289"/>
      <c r="G36" s="89">
        <f>G35*E36</f>
        <v>19489.97124</v>
      </c>
      <c r="H36" s="89"/>
      <c r="I36" s="89">
        <f>I35*E36</f>
        <v>17585.72784</v>
      </c>
      <c r="J36" s="89"/>
      <c r="K36" s="89">
        <f>K35*E36</f>
        <v>14572.05084</v>
      </c>
      <c r="L36" s="89"/>
      <c r="M36" s="89">
        <f>M35*E36</f>
        <v>13897.287540000001</v>
      </c>
      <c r="N36" s="89"/>
      <c r="O36" s="89">
        <f>O35*E36</f>
        <v>11872.99764</v>
      </c>
      <c r="P36" s="63"/>
      <c r="Q36" s="60"/>
    </row>
    <row r="37" spans="1:15" ht="30" customHeight="1">
      <c r="A37" s="86">
        <v>18</v>
      </c>
      <c r="B37" s="85" t="s">
        <v>1336</v>
      </c>
      <c r="C37" s="91"/>
      <c r="D37" s="335" t="s">
        <v>26</v>
      </c>
      <c r="E37" s="88">
        <f>97*1.11*1.086275*1.1112*1.0685</f>
        <v>138.86770458726812</v>
      </c>
      <c r="F37" s="86">
        <v>17</v>
      </c>
      <c r="G37" s="88">
        <f>F37*E37</f>
        <v>2360.750977983558</v>
      </c>
      <c r="H37" s="86">
        <v>17</v>
      </c>
      <c r="I37" s="88">
        <f>H37*E37</f>
        <v>2360.750977983558</v>
      </c>
      <c r="J37" s="86">
        <v>17</v>
      </c>
      <c r="K37" s="88">
        <f>J37*E37</f>
        <v>2360.750977983558</v>
      </c>
      <c r="L37" s="86">
        <v>17</v>
      </c>
      <c r="M37" s="88">
        <f>L37*E37</f>
        <v>2360.750977983558</v>
      </c>
      <c r="N37" s="86">
        <v>17</v>
      </c>
      <c r="O37" s="88">
        <f>N37*E37</f>
        <v>2360.750977983558</v>
      </c>
    </row>
    <row r="38" spans="1:16" s="1" customFormat="1" ht="30.75" customHeight="1">
      <c r="A38" s="91">
        <v>19</v>
      </c>
      <c r="B38" s="90" t="s">
        <v>310</v>
      </c>
      <c r="C38" s="91"/>
      <c r="D38" s="244" t="s">
        <v>28</v>
      </c>
      <c r="E38" s="88">
        <f>1664*1.27*1.0891*1.086275*1.1112*1.0685</f>
        <v>2968.460981603261</v>
      </c>
      <c r="F38" s="88">
        <v>2.65</v>
      </c>
      <c r="G38" s="88">
        <f>F38*E38</f>
        <v>7866.421601248642</v>
      </c>
      <c r="H38" s="88">
        <v>2.65</v>
      </c>
      <c r="I38" s="88">
        <f>H38*E38</f>
        <v>7866.421601248642</v>
      </c>
      <c r="J38" s="88">
        <v>2.65</v>
      </c>
      <c r="K38" s="88">
        <f>J38*E38</f>
        <v>7866.421601248642</v>
      </c>
      <c r="L38" s="88">
        <v>2.65</v>
      </c>
      <c r="M38" s="88">
        <f>L38*E38</f>
        <v>7866.421601248642</v>
      </c>
      <c r="N38" s="88">
        <v>2.65</v>
      </c>
      <c r="O38" s="88">
        <f>N38*E38</f>
        <v>7866.421601248642</v>
      </c>
      <c r="P38" s="2"/>
    </row>
    <row r="39" spans="1:16" ht="28.5">
      <c r="A39" s="86">
        <v>20</v>
      </c>
      <c r="B39" s="85" t="s">
        <v>1337</v>
      </c>
      <c r="C39" s="91"/>
      <c r="D39" s="335"/>
      <c r="E39" s="88"/>
      <c r="F39" s="86"/>
      <c r="G39" s="88">
        <v>37870.48</v>
      </c>
      <c r="H39" s="86"/>
      <c r="I39" s="88">
        <f>+G39</f>
        <v>37870.48</v>
      </c>
      <c r="J39" s="86"/>
      <c r="K39" s="88">
        <f>+I39</f>
        <v>37870.48</v>
      </c>
      <c r="L39" s="86"/>
      <c r="M39" s="88">
        <f>+K39</f>
        <v>37870.48</v>
      </c>
      <c r="N39" s="86"/>
      <c r="O39" s="88">
        <f>+M39</f>
        <v>37870.48</v>
      </c>
      <c r="P39" s="336"/>
    </row>
    <row r="40" spans="1:16" ht="61.5" customHeight="1">
      <c r="A40" s="86">
        <v>21</v>
      </c>
      <c r="B40" s="85" t="s">
        <v>780</v>
      </c>
      <c r="C40" s="91"/>
      <c r="D40" s="335"/>
      <c r="E40" s="88"/>
      <c r="F40" s="86"/>
      <c r="G40" s="88">
        <f>1.1*1.1*4662*1.2*1.1*1.1797*1.1402*0.9368</f>
        <v>9382.76996257647</v>
      </c>
      <c r="H40" s="86"/>
      <c r="I40" s="88">
        <f>1.1*1.1*4662*1.2*1.1*1.1797*1.1402*0.9368</f>
        <v>9382.76996257647</v>
      </c>
      <c r="J40" s="86"/>
      <c r="K40" s="88">
        <f>1.1*1.1*4662*1.2*1.1*1.1797*1.1402*0.9368</f>
        <v>9382.76996257647</v>
      </c>
      <c r="L40" s="86"/>
      <c r="M40" s="88">
        <f>1.1*1.1*4662*1.2*1.1*1.1797*1.1402*0.9368</f>
        <v>9382.76996257647</v>
      </c>
      <c r="N40" s="86"/>
      <c r="O40" s="88">
        <f>1.1*1.1*4662*1.2*1.1*1.1797*1.1402*0.9368</f>
        <v>9382.76996257647</v>
      </c>
      <c r="P40" s="1"/>
    </row>
    <row r="41" spans="1:16" ht="17.25" customHeight="1">
      <c r="A41" s="14">
        <v>22</v>
      </c>
      <c r="B41" s="97" t="s">
        <v>938</v>
      </c>
      <c r="C41" s="91"/>
      <c r="D41" s="335"/>
      <c r="E41" s="88"/>
      <c r="F41" s="86"/>
      <c r="G41" s="129">
        <f>G35+G36+G37+G38+G39+G40</f>
        <v>293525.62978180865</v>
      </c>
      <c r="H41" s="14"/>
      <c r="I41" s="129">
        <f>I35+I36+I37+I38+I39+I40</f>
        <v>270463.12638180866</v>
      </c>
      <c r="J41" s="14"/>
      <c r="K41" s="129">
        <f>K35+K36+K37+K38+K39+K40</f>
        <v>233964.1493818087</v>
      </c>
      <c r="L41" s="14"/>
      <c r="M41" s="129">
        <f>M35+M36+M37+M38+M39+M40</f>
        <v>225792.0160818087</v>
      </c>
      <c r="N41" s="14"/>
      <c r="O41" s="129">
        <f>O35+O36+O37+O38+O39+O40</f>
        <v>201275.61618180867</v>
      </c>
      <c r="P41" s="65"/>
    </row>
    <row r="42" spans="1:16" ht="42.75">
      <c r="A42" s="86">
        <v>23</v>
      </c>
      <c r="B42" s="90" t="s">
        <v>939</v>
      </c>
      <c r="C42" s="91"/>
      <c r="D42" s="335"/>
      <c r="E42" s="88">
        <v>0.11</v>
      </c>
      <c r="F42" s="86"/>
      <c r="G42" s="88">
        <f>G35*E42</f>
        <v>23821.075960000002</v>
      </c>
      <c r="H42" s="86"/>
      <c r="I42" s="88">
        <f>I35*E42</f>
        <v>21493.66736</v>
      </c>
      <c r="J42" s="86"/>
      <c r="K42" s="88">
        <f>K35*E42</f>
        <v>17810.28436</v>
      </c>
      <c r="L42" s="86"/>
      <c r="M42" s="88">
        <f>M35*E42</f>
        <v>16985.573660000002</v>
      </c>
      <c r="N42" s="86"/>
      <c r="O42" s="88">
        <f>O35*E42</f>
        <v>14511.44156</v>
      </c>
      <c r="P42" s="65"/>
    </row>
    <row r="43" spans="1:16" ht="28.5">
      <c r="A43" s="86">
        <v>24</v>
      </c>
      <c r="B43" s="85" t="s">
        <v>1338</v>
      </c>
      <c r="C43" s="91"/>
      <c r="D43" s="335"/>
      <c r="E43" s="88"/>
      <c r="F43" s="86"/>
      <c r="G43" s="88">
        <f>G41+G42</f>
        <v>317346.70574180863</v>
      </c>
      <c r="H43" s="88"/>
      <c r="I43" s="88">
        <f>I41+I42</f>
        <v>291956.7937418087</v>
      </c>
      <c r="J43" s="88"/>
      <c r="K43" s="88">
        <f>K41+K42</f>
        <v>251774.4337418087</v>
      </c>
      <c r="L43" s="88"/>
      <c r="M43" s="88">
        <f>M41+M42</f>
        <v>242777.58974180868</v>
      </c>
      <c r="N43" s="88"/>
      <c r="O43" s="88">
        <f>O41+O42</f>
        <v>215787.05774180868</v>
      </c>
      <c r="P43" s="171"/>
    </row>
    <row r="44" spans="1:15" ht="33" customHeight="1">
      <c r="A44" s="14">
        <v>25</v>
      </c>
      <c r="B44" s="148" t="s">
        <v>1339</v>
      </c>
      <c r="C44" s="91"/>
      <c r="D44" s="335"/>
      <c r="E44" s="88"/>
      <c r="F44" s="86"/>
      <c r="G44" s="129">
        <f>ROUND(G43,0)</f>
        <v>317347</v>
      </c>
      <c r="H44" s="14"/>
      <c r="I44" s="129">
        <f>ROUND(I43,0)</f>
        <v>291957</v>
      </c>
      <c r="J44" s="14"/>
      <c r="K44" s="129">
        <f>ROUND(K43,0)</f>
        <v>251774</v>
      </c>
      <c r="L44" s="14"/>
      <c r="M44" s="129">
        <f>ROUND(M43,0)</f>
        <v>242778</v>
      </c>
      <c r="N44" s="14"/>
      <c r="O44" s="129">
        <f>ROUND(O43,0)</f>
        <v>215787</v>
      </c>
    </row>
    <row r="45" spans="1:15" ht="15">
      <c r="A45" s="13"/>
      <c r="B45" s="15"/>
      <c r="C45" s="337"/>
      <c r="D45" s="297"/>
      <c r="E45" s="37"/>
      <c r="F45" s="297"/>
      <c r="G45" s="338"/>
      <c r="H45" s="13"/>
      <c r="I45" s="338"/>
      <c r="J45" s="13"/>
      <c r="K45" s="338"/>
      <c r="L45" s="13"/>
      <c r="M45" s="338"/>
      <c r="N45" s="13"/>
      <c r="O45" s="338"/>
    </row>
    <row r="46" spans="1:15" ht="14.25">
      <c r="A46" s="84"/>
      <c r="B46" s="785" t="s">
        <v>1340</v>
      </c>
      <c r="C46" s="785"/>
      <c r="D46" s="785"/>
      <c r="E46" s="234"/>
      <c r="F46" s="234"/>
      <c r="G46" s="249"/>
      <c r="H46" s="27"/>
      <c r="I46" s="27"/>
      <c r="J46" s="27"/>
      <c r="K46" s="27"/>
      <c r="L46" s="27"/>
      <c r="M46" s="27"/>
      <c r="N46" s="27"/>
      <c r="O46" s="27"/>
    </row>
    <row r="47" spans="1:15" ht="15.75" customHeight="1">
      <c r="A47" s="339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  <row r="48" spans="1:15" ht="15.75">
      <c r="A48" s="341"/>
      <c r="B48" s="342"/>
      <c r="C48" s="343"/>
      <c r="D48" s="342"/>
      <c r="E48" s="342"/>
      <c r="F48" s="342"/>
      <c r="G48" s="342"/>
      <c r="I48" s="323"/>
      <c r="J48" s="342"/>
      <c r="K48" s="342"/>
      <c r="L48" s="342"/>
      <c r="M48" s="342"/>
      <c r="N48" s="342"/>
      <c r="O48" s="342"/>
    </row>
    <row r="49" spans="1:15" ht="15.75">
      <c r="A49" s="341"/>
      <c r="B49" s="342"/>
      <c r="C49" s="343"/>
      <c r="D49" s="342"/>
      <c r="E49" s="342"/>
      <c r="F49" s="342"/>
      <c r="G49" s="342"/>
      <c r="H49" s="323"/>
      <c r="I49" s="323"/>
      <c r="J49" s="342"/>
      <c r="K49" s="342"/>
      <c r="L49" s="342"/>
      <c r="M49" s="342"/>
      <c r="N49" s="342"/>
      <c r="O49" s="342"/>
    </row>
    <row r="50" spans="1:15" ht="15.75">
      <c r="A50" s="341"/>
      <c r="B50" s="342"/>
      <c r="C50" s="343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5.75">
      <c r="A51" s="341"/>
      <c r="B51" s="342"/>
      <c r="C51" s="343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</row>
    <row r="52" spans="1:15" ht="15.75">
      <c r="A52" s="341"/>
      <c r="B52" s="342"/>
      <c r="C52" s="343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</row>
    <row r="53" spans="1:15" ht="15.75">
      <c r="A53" s="341"/>
      <c r="B53" s="342"/>
      <c r="C53" s="343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</row>
    <row r="54" spans="1:15" ht="15.75">
      <c r="A54" s="341"/>
      <c r="B54" s="342"/>
      <c r="C54" s="343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</row>
    <row r="55" spans="1:15" ht="15.75">
      <c r="A55" s="341"/>
      <c r="B55" s="342"/>
      <c r="C55" s="343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</row>
    <row r="56" spans="1:15" ht="15.75">
      <c r="A56" s="341"/>
      <c r="B56" s="342"/>
      <c r="C56" s="343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</row>
    <row r="57" spans="1:15" ht="15.75">
      <c r="A57" s="341"/>
      <c r="B57" s="344"/>
      <c r="C57" s="345"/>
      <c r="D57" s="346"/>
      <c r="E57" s="347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ht="15.75">
      <c r="A58" s="341"/>
      <c r="B58" s="344"/>
      <c r="C58" s="345"/>
      <c r="D58" s="346"/>
      <c r="E58" s="347"/>
      <c r="F58" s="342"/>
      <c r="G58" s="342"/>
      <c r="H58" s="342"/>
      <c r="I58" s="342"/>
      <c r="J58" s="342"/>
      <c r="K58" s="342"/>
      <c r="L58" s="342"/>
      <c r="M58" s="342"/>
      <c r="N58" s="342"/>
      <c r="O58" s="342"/>
    </row>
    <row r="59" spans="1:15" ht="15.75">
      <c r="A59" s="341"/>
      <c r="B59" s="344"/>
      <c r="C59" s="345"/>
      <c r="D59" s="346"/>
      <c r="E59" s="347"/>
      <c r="F59" s="342"/>
      <c r="G59" s="342"/>
      <c r="H59" s="342"/>
      <c r="I59" s="342"/>
      <c r="J59" s="342"/>
      <c r="K59" s="342"/>
      <c r="L59" s="342"/>
      <c r="M59" s="342"/>
      <c r="N59" s="342"/>
      <c r="O59" s="342"/>
    </row>
    <row r="60" spans="1:15" ht="15.75">
      <c r="A60" s="341"/>
      <c r="B60" s="342"/>
      <c r="C60" s="343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</row>
    <row r="61" spans="1:15" ht="15.75">
      <c r="A61" s="341"/>
      <c r="B61" s="342"/>
      <c r="C61" s="343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</row>
    <row r="62" spans="1:15" ht="15.75">
      <c r="A62" s="341"/>
      <c r="B62" s="342"/>
      <c r="C62" s="343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</row>
    <row r="63" spans="1:15" ht="15.75">
      <c r="A63" s="341"/>
      <c r="B63" s="342"/>
      <c r="C63" s="343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</row>
    <row r="64" spans="1:15" ht="15.75">
      <c r="A64" s="341"/>
      <c r="B64" s="342"/>
      <c r="C64" s="343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</row>
    <row r="65" spans="1:15" ht="15.75">
      <c r="A65" s="341"/>
      <c r="B65" s="342"/>
      <c r="C65" s="343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</row>
    <row r="66" spans="1:15" ht="15.75">
      <c r="A66" s="341"/>
      <c r="B66" s="342"/>
      <c r="C66" s="343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</row>
    <row r="67" spans="1:15" ht="15.75">
      <c r="A67" s="341"/>
      <c r="B67" s="342"/>
      <c r="C67" s="343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</row>
    <row r="68" spans="1:15" ht="15.75">
      <c r="A68" s="341"/>
      <c r="B68" s="342"/>
      <c r="C68" s="343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</row>
    <row r="69" spans="1:15" ht="15.75">
      <c r="A69" s="341"/>
      <c r="B69" s="342"/>
      <c r="C69" s="343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</row>
  </sheetData>
  <sheetProtection/>
  <mergeCells count="17">
    <mergeCell ref="B46:D46"/>
    <mergeCell ref="L7:M7"/>
    <mergeCell ref="N7:O7"/>
    <mergeCell ref="A15:A18"/>
    <mergeCell ref="A19:A22"/>
    <mergeCell ref="A25:A26"/>
    <mergeCell ref="A27:A30"/>
    <mergeCell ref="E1:I1"/>
    <mergeCell ref="B3:K3"/>
    <mergeCell ref="A7:A8"/>
    <mergeCell ref="B7:B8"/>
    <mergeCell ref="C7:C8"/>
    <mergeCell ref="D7:D8"/>
    <mergeCell ref="E7:E8"/>
    <mergeCell ref="F7:G7"/>
    <mergeCell ref="H7:I7"/>
    <mergeCell ref="J7:K7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44" right="0" top="0.95" bottom="0.43" header="0" footer="0.18"/>
  <pageSetup fitToHeight="2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2:U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28.140625" style="2" customWidth="1"/>
    <col min="3" max="3" width="14.00390625" style="2" bestFit="1" customWidth="1"/>
    <col min="4" max="4" width="8.00390625" style="2" bestFit="1" customWidth="1"/>
    <col min="5" max="5" width="9.28125" style="2" bestFit="1" customWidth="1"/>
    <col min="6" max="6" width="11.7109375" style="2" customWidth="1"/>
    <col min="7" max="8" width="9.28125" style="2" bestFit="1" customWidth="1"/>
    <col min="9" max="9" width="13.00390625" style="2" customWidth="1"/>
    <col min="10" max="10" width="18.421875" style="2" bestFit="1" customWidth="1"/>
    <col min="11" max="16384" width="9.140625" style="2" customWidth="1"/>
  </cols>
  <sheetData>
    <row r="2" spans="1:8" ht="18">
      <c r="A2" s="27"/>
      <c r="C2" s="881" t="s">
        <v>1208</v>
      </c>
      <c r="D2" s="881"/>
      <c r="E2" s="881"/>
      <c r="F2" s="881"/>
      <c r="G2" s="27"/>
      <c r="H2" s="27"/>
    </row>
    <row r="3" spans="1:8" ht="18">
      <c r="A3" s="27"/>
      <c r="B3" s="336"/>
      <c r="C3" s="336"/>
      <c r="D3" s="336"/>
      <c r="E3" s="630"/>
      <c r="F3" s="27"/>
      <c r="G3" s="27"/>
      <c r="H3" s="27"/>
    </row>
    <row r="4" spans="2:8" ht="15.75" customHeight="1">
      <c r="B4" s="882" t="s">
        <v>1209</v>
      </c>
      <c r="C4" s="882"/>
      <c r="D4" s="882"/>
      <c r="E4" s="882"/>
      <c r="F4" s="882"/>
      <c r="G4" s="882"/>
      <c r="H4" s="882"/>
    </row>
    <row r="5" spans="1:10" ht="15.75">
      <c r="A5" s="631"/>
      <c r="B5" s="631"/>
      <c r="C5" s="631"/>
      <c r="D5" s="631"/>
      <c r="E5" s="631"/>
      <c r="F5" s="631"/>
      <c r="G5" s="631"/>
      <c r="H5" s="631"/>
      <c r="J5" s="52"/>
    </row>
    <row r="6" spans="1:8" ht="15.75">
      <c r="A6" s="631"/>
      <c r="B6" s="631"/>
      <c r="C6" s="631"/>
      <c r="D6" s="631"/>
      <c r="E6" s="631"/>
      <c r="F6" s="631"/>
      <c r="G6" s="883" t="s">
        <v>1003</v>
      </c>
      <c r="H6" s="883"/>
    </row>
    <row r="7" spans="1:8" ht="15.75">
      <c r="A7" s="631"/>
      <c r="B7" s="631"/>
      <c r="C7" s="631"/>
      <c r="D7" s="631"/>
      <c r="E7" s="631"/>
      <c r="F7" s="631"/>
      <c r="G7" s="632"/>
      <c r="H7" s="632"/>
    </row>
    <row r="8" spans="1:21" ht="99" customHeight="1">
      <c r="A8" s="634" t="s">
        <v>191</v>
      </c>
      <c r="B8" s="634" t="s">
        <v>1210</v>
      </c>
      <c r="C8" s="14" t="s">
        <v>751</v>
      </c>
      <c r="D8" s="634" t="s">
        <v>159</v>
      </c>
      <c r="E8" s="635" t="s">
        <v>666</v>
      </c>
      <c r="F8" s="635" t="s">
        <v>667</v>
      </c>
      <c r="G8" s="719" t="s">
        <v>668</v>
      </c>
      <c r="H8" s="636" t="s">
        <v>669</v>
      </c>
      <c r="I8" s="636" t="s">
        <v>670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9" ht="15">
      <c r="A9" s="634">
        <v>1</v>
      </c>
      <c r="B9" s="634">
        <v>2</v>
      </c>
      <c r="C9" s="14">
        <v>3</v>
      </c>
      <c r="D9" s="634">
        <v>4</v>
      </c>
      <c r="E9" s="635">
        <v>5</v>
      </c>
      <c r="F9" s="635">
        <v>6</v>
      </c>
      <c r="G9" s="636">
        <v>7</v>
      </c>
      <c r="H9" s="636">
        <v>8</v>
      </c>
      <c r="I9" s="636">
        <v>9</v>
      </c>
    </row>
    <row r="10" spans="1:9" ht="35.25" customHeight="1">
      <c r="A10" s="637">
        <v>1</v>
      </c>
      <c r="B10" s="638" t="s">
        <v>1211</v>
      </c>
      <c r="C10" s="637">
        <v>7131950010</v>
      </c>
      <c r="D10" s="637" t="s">
        <v>695</v>
      </c>
      <c r="E10" s="639">
        <f>VLOOKUP(C10,'SOR RATE'!A:D,4,0)</f>
        <v>1147</v>
      </c>
      <c r="F10" s="639">
        <f>E10*9%</f>
        <v>103.22999999999999</v>
      </c>
      <c r="G10" s="639">
        <v>100</v>
      </c>
      <c r="H10" s="639">
        <f>E10+F10+G10</f>
        <v>1350.23</v>
      </c>
      <c r="I10" s="98">
        <f>ROUND(H10,0)</f>
        <v>1350</v>
      </c>
    </row>
    <row r="11" spans="1:9" ht="35.25" customHeight="1">
      <c r="A11" s="637">
        <v>2</v>
      </c>
      <c r="B11" s="638" t="s">
        <v>1212</v>
      </c>
      <c r="C11" s="637">
        <v>7131950012</v>
      </c>
      <c r="D11" s="637" t="s">
        <v>695</v>
      </c>
      <c r="E11" s="639">
        <f>VLOOKUP(C11,'SOR RATE'!A:D,4,0)</f>
        <v>1355</v>
      </c>
      <c r="F11" s="639">
        <f>E11*9%</f>
        <v>121.94999999999999</v>
      </c>
      <c r="G11" s="639">
        <v>100</v>
      </c>
      <c r="H11" s="639">
        <f>E11+F11+G11</f>
        <v>1576.95</v>
      </c>
      <c r="I11" s="98">
        <f>ROUND(H11,0)</f>
        <v>1577</v>
      </c>
    </row>
    <row r="12" spans="13:14" ht="16.5" customHeight="1">
      <c r="M12" s="60"/>
      <c r="N12" s="60"/>
    </row>
    <row r="13" spans="1:8" ht="14.25">
      <c r="A13" s="640"/>
      <c r="B13" s="640"/>
      <c r="C13" s="640"/>
      <c r="D13" s="640"/>
      <c r="E13" s="640"/>
      <c r="H13" s="640"/>
    </row>
    <row r="14" spans="1:15" ht="15" customHeight="1">
      <c r="A14" s="27"/>
      <c r="B14" s="884" t="s">
        <v>936</v>
      </c>
      <c r="C14" s="884"/>
      <c r="D14" s="884"/>
      <c r="E14" s="326">
        <v>0.09</v>
      </c>
      <c r="H14" s="27"/>
      <c r="M14" s="252"/>
      <c r="N14" s="252"/>
      <c r="O14" s="252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</sheetData>
  <sheetProtection/>
  <mergeCells count="4">
    <mergeCell ref="C2:F2"/>
    <mergeCell ref="B4:H4"/>
    <mergeCell ref="G6:H6"/>
    <mergeCell ref="B14:D14"/>
  </mergeCells>
  <hyperlinks>
    <hyperlink ref="G13:H13" location="'Vol IV.b'!G342:G343" display="Back to Vol IV B"/>
  </hyperlinks>
  <printOptions/>
  <pageMargins left="1.06" right="0.16" top="1" bottom="1" header="0.5" footer="0.5"/>
  <pageSetup horizontalDpi="600" verticalDpi="600" orientation="landscape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L4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421875" style="23" customWidth="1"/>
    <col min="2" max="2" width="73.28125" style="2" customWidth="1"/>
    <col min="3" max="3" width="13.421875" style="2" customWidth="1"/>
    <col min="4" max="4" width="6.28125" style="2" customWidth="1"/>
    <col min="5" max="5" width="9.00390625" style="2" bestFit="1" customWidth="1"/>
    <col min="6" max="6" width="6.421875" style="2" bestFit="1" customWidth="1"/>
    <col min="7" max="7" width="15.00390625" style="2" customWidth="1"/>
    <col min="8" max="8" width="11.00390625" style="2" customWidth="1"/>
    <col min="9" max="9" width="16.421875" style="2" customWidth="1"/>
    <col min="10" max="10" width="15.8515625" style="2" customWidth="1"/>
    <col min="11" max="11" width="14.421875" style="2" customWidth="1"/>
    <col min="12" max="12" width="13.28125" style="2" customWidth="1"/>
    <col min="13" max="16384" width="9.140625" style="2" customWidth="1"/>
  </cols>
  <sheetData>
    <row r="1" spans="1:10" ht="18.75" customHeight="1">
      <c r="A1" s="389"/>
      <c r="B1" s="885" t="s">
        <v>719</v>
      </c>
      <c r="C1" s="885"/>
      <c r="D1" s="885"/>
      <c r="E1" s="885"/>
      <c r="F1" s="470"/>
      <c r="G1" s="42"/>
      <c r="H1" s="390"/>
      <c r="I1" s="390"/>
      <c r="J1" s="390"/>
    </row>
    <row r="2" spans="1:10" ht="12" customHeight="1">
      <c r="A2" s="389"/>
      <c r="B2" s="390"/>
      <c r="C2" s="390"/>
      <c r="D2" s="393"/>
      <c r="E2" s="393"/>
      <c r="F2" s="393"/>
      <c r="G2" s="393"/>
      <c r="H2" s="390"/>
      <c r="I2" s="390"/>
      <c r="J2" s="390"/>
    </row>
    <row r="3" spans="2:10" ht="33.75" customHeight="1">
      <c r="B3" s="781" t="s">
        <v>1213</v>
      </c>
      <c r="C3" s="781"/>
      <c r="D3" s="781"/>
      <c r="E3" s="781"/>
      <c r="F3" s="781"/>
      <c r="G3" s="747"/>
      <c r="H3" s="25"/>
      <c r="I3" s="25"/>
      <c r="J3" s="25"/>
    </row>
    <row r="5" ht="15" customHeight="1">
      <c r="G5" s="722" t="s">
        <v>1003</v>
      </c>
    </row>
    <row r="6" ht="9" customHeight="1"/>
    <row r="7" spans="1:8" ht="77.25" customHeight="1">
      <c r="A7" s="821" t="s">
        <v>191</v>
      </c>
      <c r="B7" s="821" t="s">
        <v>23</v>
      </c>
      <c r="C7" s="821" t="s">
        <v>698</v>
      </c>
      <c r="D7" s="821" t="s">
        <v>24</v>
      </c>
      <c r="E7" s="821" t="s">
        <v>1010</v>
      </c>
      <c r="F7" s="821" t="s">
        <v>1214</v>
      </c>
      <c r="G7" s="821"/>
      <c r="H7" s="471"/>
    </row>
    <row r="8" spans="1:11" ht="17.25" customHeight="1">
      <c r="A8" s="821"/>
      <c r="B8" s="821"/>
      <c r="C8" s="821"/>
      <c r="D8" s="821"/>
      <c r="E8" s="821"/>
      <c r="F8" s="398" t="s">
        <v>25</v>
      </c>
      <c r="G8" s="398" t="s">
        <v>1047</v>
      </c>
      <c r="H8" s="471"/>
      <c r="I8" s="471"/>
      <c r="J8" s="471"/>
      <c r="K8" s="471"/>
    </row>
    <row r="9" spans="1:11" ht="15">
      <c r="A9" s="400">
        <v>1</v>
      </c>
      <c r="B9" s="400">
        <v>2</v>
      </c>
      <c r="C9" s="401">
        <v>3</v>
      </c>
      <c r="D9" s="400">
        <v>4</v>
      </c>
      <c r="E9" s="400">
        <v>5</v>
      </c>
      <c r="F9" s="400">
        <v>6</v>
      </c>
      <c r="G9" s="400">
        <v>7</v>
      </c>
      <c r="H9" s="38"/>
      <c r="I9" s="38"/>
      <c r="J9" s="38"/>
      <c r="K9" s="38"/>
    </row>
    <row r="10" spans="1:10" ht="16.5" customHeight="1">
      <c r="A10" s="402">
        <v>1</v>
      </c>
      <c r="B10" s="411" t="s">
        <v>332</v>
      </c>
      <c r="C10" s="472">
        <v>7130800012</v>
      </c>
      <c r="D10" s="412" t="s">
        <v>26</v>
      </c>
      <c r="E10" s="404">
        <f>VLOOKUP(C10,'SOR RATE'!A:D,4,0)</f>
        <v>1654</v>
      </c>
      <c r="F10" s="405">
        <v>20</v>
      </c>
      <c r="G10" s="406">
        <f aca="true" t="shared" si="0" ref="G10:G21">F10*E10</f>
        <v>33080</v>
      </c>
      <c r="H10" s="757"/>
      <c r="I10" s="67"/>
      <c r="J10" s="67"/>
    </row>
    <row r="11" spans="1:8" ht="31.5" customHeight="1">
      <c r="A11" s="402">
        <v>2</v>
      </c>
      <c r="B11" s="327" t="s">
        <v>1215</v>
      </c>
      <c r="C11" s="91">
        <v>7130797533</v>
      </c>
      <c r="D11" s="53" t="s">
        <v>26</v>
      </c>
      <c r="E11" s="404">
        <f>VLOOKUP(C11,'SOR RATE'!A:D,4,0)</f>
        <v>435</v>
      </c>
      <c r="F11" s="405">
        <v>20</v>
      </c>
      <c r="G11" s="416">
        <f t="shared" si="0"/>
        <v>8700</v>
      </c>
      <c r="H11" s="753"/>
    </row>
    <row r="12" spans="1:12" ht="31.5" customHeight="1">
      <c r="A12" s="402" t="s">
        <v>312</v>
      </c>
      <c r="B12" s="729" t="s">
        <v>656</v>
      </c>
      <c r="C12" s="53">
        <v>7130390003</v>
      </c>
      <c r="D12" s="53" t="s">
        <v>26</v>
      </c>
      <c r="E12" s="404">
        <f>VLOOKUP(C12,'SOR RATE'!A:D,4,0)</f>
        <v>80</v>
      </c>
      <c r="F12" s="405">
        <v>24</v>
      </c>
      <c r="G12" s="416">
        <f t="shared" si="0"/>
        <v>1920</v>
      </c>
      <c r="I12" s="832" t="s">
        <v>835</v>
      </c>
      <c r="J12" s="832"/>
      <c r="K12" s="832"/>
      <c r="L12" s="832"/>
    </row>
    <row r="13" spans="1:12" ht="30" customHeight="1">
      <c r="A13" s="402" t="s">
        <v>1005</v>
      </c>
      <c r="B13" s="729" t="s">
        <v>657</v>
      </c>
      <c r="C13" s="53">
        <v>7130390004</v>
      </c>
      <c r="D13" s="53" t="s">
        <v>26</v>
      </c>
      <c r="E13" s="404">
        <f>VLOOKUP(C13,'SOR RATE'!A:D,4,0)</f>
        <v>104</v>
      </c>
      <c r="F13" s="405">
        <v>10</v>
      </c>
      <c r="G13" s="416">
        <f t="shared" si="0"/>
        <v>1040</v>
      </c>
      <c r="I13" s="832" t="s">
        <v>720</v>
      </c>
      <c r="J13" s="832"/>
      <c r="K13" s="832"/>
      <c r="L13" s="832"/>
    </row>
    <row r="14" spans="1:12" ht="29.25" customHeight="1">
      <c r="A14" s="402" t="s">
        <v>1006</v>
      </c>
      <c r="B14" s="729" t="s">
        <v>658</v>
      </c>
      <c r="C14" s="53">
        <v>7130390005</v>
      </c>
      <c r="D14" s="53" t="s">
        <v>26</v>
      </c>
      <c r="E14" s="404">
        <f>VLOOKUP(C14,'SOR RATE'!A:D,4,0)</f>
        <v>145</v>
      </c>
      <c r="F14" s="405">
        <v>6</v>
      </c>
      <c r="G14" s="416">
        <f t="shared" si="0"/>
        <v>870</v>
      </c>
      <c r="I14" s="832" t="s">
        <v>837</v>
      </c>
      <c r="J14" s="832"/>
      <c r="K14" s="832"/>
      <c r="L14" s="832"/>
    </row>
    <row r="15" spans="1:7" ht="20.25" customHeight="1">
      <c r="A15" s="402">
        <v>4</v>
      </c>
      <c r="B15" s="432" t="s">
        <v>161</v>
      </c>
      <c r="C15" s="53">
        <v>7131950010</v>
      </c>
      <c r="D15" s="53" t="s">
        <v>897</v>
      </c>
      <c r="E15" s="404">
        <f>VLOOKUP(C15,'SOR RATE'!A:D,4,0)</f>
        <v>1147</v>
      </c>
      <c r="F15" s="405">
        <v>20</v>
      </c>
      <c r="G15" s="416">
        <f t="shared" si="0"/>
        <v>22940</v>
      </c>
    </row>
    <row r="16" spans="1:7" ht="15.75" customHeight="1">
      <c r="A16" s="402">
        <v>5</v>
      </c>
      <c r="B16" s="413" t="s">
        <v>313</v>
      </c>
      <c r="C16" s="86">
        <v>7130390006</v>
      </c>
      <c r="D16" s="53" t="s">
        <v>26</v>
      </c>
      <c r="E16" s="404">
        <f>VLOOKUP(C16,'SOR RATE'!A:D,4,0)</f>
        <v>149</v>
      </c>
      <c r="F16" s="405">
        <v>41</v>
      </c>
      <c r="G16" s="416">
        <f t="shared" si="0"/>
        <v>6109</v>
      </c>
    </row>
    <row r="17" spans="1:8" ht="32.25" customHeight="1">
      <c r="A17" s="402">
        <v>6</v>
      </c>
      <c r="B17" s="413" t="s">
        <v>1443</v>
      </c>
      <c r="C17" s="87">
        <v>7130797532</v>
      </c>
      <c r="D17" s="53" t="s">
        <v>26</v>
      </c>
      <c r="E17" s="404">
        <f>VLOOKUP(C17,'SOR RATE'!A:D,4,0)</f>
        <v>599</v>
      </c>
      <c r="F17" s="405">
        <v>44</v>
      </c>
      <c r="G17" s="416">
        <f t="shared" si="0"/>
        <v>26356</v>
      </c>
      <c r="H17" s="753"/>
    </row>
    <row r="18" spans="1:10" ht="18" customHeight="1">
      <c r="A18" s="402">
        <v>7</v>
      </c>
      <c r="B18" s="423" t="s">
        <v>888</v>
      </c>
      <c r="C18" s="424"/>
      <c r="D18" s="53" t="s">
        <v>307</v>
      </c>
      <c r="E18" s="417">
        <f>40129/1000</f>
        <v>40.129</v>
      </c>
      <c r="F18" s="405">
        <v>1100</v>
      </c>
      <c r="G18" s="416">
        <f t="shared" si="0"/>
        <v>44141.899999999994</v>
      </c>
      <c r="H18" s="753"/>
      <c r="J18" s="171"/>
    </row>
    <row r="19" spans="1:8" ht="14.25">
      <c r="A19" s="827">
        <v>8</v>
      </c>
      <c r="B19" s="327" t="s">
        <v>318</v>
      </c>
      <c r="C19" s="424">
        <v>7130860032</v>
      </c>
      <c r="D19" s="53" t="s">
        <v>26</v>
      </c>
      <c r="E19" s="404">
        <f>VLOOKUP(C19,'SOR RATE'!A:D,4,0)</f>
        <v>387</v>
      </c>
      <c r="F19" s="415">
        <v>12</v>
      </c>
      <c r="G19" s="416">
        <f t="shared" si="0"/>
        <v>4644</v>
      </c>
      <c r="H19" s="753"/>
    </row>
    <row r="20" spans="1:7" ht="14.25">
      <c r="A20" s="828"/>
      <c r="B20" s="327" t="s">
        <v>319</v>
      </c>
      <c r="C20" s="424">
        <v>7130860077</v>
      </c>
      <c r="D20" s="53" t="s">
        <v>32</v>
      </c>
      <c r="E20" s="404">
        <f>VLOOKUP(C20,'SOR RATE'!A:D,4,0)/1000</f>
        <v>61.6</v>
      </c>
      <c r="F20" s="415">
        <v>72</v>
      </c>
      <c r="G20" s="416">
        <f t="shared" si="0"/>
        <v>4435.2</v>
      </c>
    </row>
    <row r="21" spans="1:7" ht="14.25">
      <c r="A21" s="829"/>
      <c r="B21" s="327" t="s">
        <v>782</v>
      </c>
      <c r="C21" s="427">
        <v>7130810026</v>
      </c>
      <c r="D21" s="53" t="s">
        <v>26</v>
      </c>
      <c r="E21" s="404">
        <f>VLOOKUP(C21,'SOR RATE'!A:D,4,0)</f>
        <v>142</v>
      </c>
      <c r="F21" s="415">
        <v>12</v>
      </c>
      <c r="G21" s="416">
        <f t="shared" si="0"/>
        <v>1704</v>
      </c>
    </row>
    <row r="22" spans="1:7" ht="33" customHeight="1">
      <c r="A22" s="827">
        <v>9</v>
      </c>
      <c r="B22" s="428" t="s">
        <v>320</v>
      </c>
      <c r="C22" s="424"/>
      <c r="D22" s="53" t="s">
        <v>1331</v>
      </c>
      <c r="E22" s="417"/>
      <c r="F22" s="415"/>
      <c r="G22" s="416"/>
    </row>
    <row r="23" spans="1:7" ht="14.25">
      <c r="A23" s="829"/>
      <c r="B23" s="327" t="s">
        <v>777</v>
      </c>
      <c r="C23" s="424">
        <v>7130200401</v>
      </c>
      <c r="D23" s="53" t="s">
        <v>32</v>
      </c>
      <c r="E23" s="404">
        <f>VLOOKUP(C23,'SOR RATE'!A:D,4,0)/50</f>
        <v>5.36</v>
      </c>
      <c r="F23" s="415">
        <v>707</v>
      </c>
      <c r="G23" s="416">
        <f>F23*E23</f>
        <v>3789.5200000000004</v>
      </c>
    </row>
    <row r="24" spans="1:7" ht="14.25">
      <c r="A24" s="827">
        <v>10</v>
      </c>
      <c r="B24" s="423" t="s">
        <v>33</v>
      </c>
      <c r="C24" s="328"/>
      <c r="D24" s="53" t="s">
        <v>32</v>
      </c>
      <c r="E24" s="417"/>
      <c r="F24" s="415">
        <v>30</v>
      </c>
      <c r="G24" s="415"/>
    </row>
    <row r="25" spans="1:7" ht="14.25">
      <c r="A25" s="828"/>
      <c r="B25" s="431" t="s">
        <v>1333</v>
      </c>
      <c r="C25" s="424">
        <v>7130620573</v>
      </c>
      <c r="D25" s="53" t="s">
        <v>32</v>
      </c>
      <c r="E25" s="404">
        <f>VLOOKUP(C25,'SOR RATE'!A:D,4,0)</f>
        <v>64</v>
      </c>
      <c r="F25" s="415">
        <v>2</v>
      </c>
      <c r="G25" s="416">
        <f aca="true" t="shared" si="1" ref="G25:G35">F25*E25</f>
        <v>128</v>
      </c>
    </row>
    <row r="26" spans="1:7" ht="14.25">
      <c r="A26" s="828"/>
      <c r="B26" s="431" t="s">
        <v>1017</v>
      </c>
      <c r="C26" s="424">
        <v>7130620609</v>
      </c>
      <c r="D26" s="53" t="s">
        <v>32</v>
      </c>
      <c r="E26" s="404">
        <f>VLOOKUP(C26,'SOR RATE'!A:D,4,0)</f>
        <v>64</v>
      </c>
      <c r="F26" s="415">
        <v>14</v>
      </c>
      <c r="G26" s="416">
        <f t="shared" si="1"/>
        <v>896</v>
      </c>
    </row>
    <row r="27" spans="1:7" ht="14.25">
      <c r="A27" s="829"/>
      <c r="B27" s="431" t="s">
        <v>192</v>
      </c>
      <c r="C27" s="424">
        <v>7130620614</v>
      </c>
      <c r="D27" s="53" t="s">
        <v>32</v>
      </c>
      <c r="E27" s="404">
        <f>VLOOKUP(C27,'SOR RATE'!A:D,4,0)</f>
        <v>63</v>
      </c>
      <c r="F27" s="415">
        <v>14</v>
      </c>
      <c r="G27" s="416">
        <f t="shared" si="1"/>
        <v>882</v>
      </c>
    </row>
    <row r="28" spans="1:8" ht="17.25" customHeight="1">
      <c r="A28" s="402">
        <v>11</v>
      </c>
      <c r="B28" s="327" t="s">
        <v>1334</v>
      </c>
      <c r="C28" s="328">
        <v>7130870013</v>
      </c>
      <c r="D28" s="53" t="s">
        <v>26</v>
      </c>
      <c r="E28" s="404">
        <f>VLOOKUP(C28,'SOR RATE'!A:D,4,0)</f>
        <v>100</v>
      </c>
      <c r="F28" s="415">
        <v>6</v>
      </c>
      <c r="G28" s="416">
        <f t="shared" si="1"/>
        <v>600</v>
      </c>
      <c r="H28" s="753"/>
    </row>
    <row r="29" spans="1:7" ht="15" customHeight="1">
      <c r="A29" s="402">
        <v>12</v>
      </c>
      <c r="B29" s="327" t="s">
        <v>29</v>
      </c>
      <c r="C29" s="328">
        <v>7130211158</v>
      </c>
      <c r="D29" s="53" t="s">
        <v>30</v>
      </c>
      <c r="E29" s="404">
        <f>VLOOKUP(C29,'SOR RATE'!A:D,4,0)</f>
        <v>130</v>
      </c>
      <c r="F29" s="53">
        <v>3</v>
      </c>
      <c r="G29" s="416">
        <f t="shared" si="1"/>
        <v>390</v>
      </c>
    </row>
    <row r="30" spans="1:7" ht="15" customHeight="1">
      <c r="A30" s="402">
        <v>13</v>
      </c>
      <c r="B30" s="327" t="s">
        <v>31</v>
      </c>
      <c r="C30" s="328">
        <v>7130210809</v>
      </c>
      <c r="D30" s="53" t="s">
        <v>30</v>
      </c>
      <c r="E30" s="404">
        <f>VLOOKUP(C30,'SOR RATE'!A:D,4,0)</f>
        <v>290</v>
      </c>
      <c r="F30" s="53">
        <v>3</v>
      </c>
      <c r="G30" s="416">
        <f t="shared" si="1"/>
        <v>870</v>
      </c>
    </row>
    <row r="31" spans="1:8" ht="17.25" customHeight="1">
      <c r="A31" s="402">
        <v>14</v>
      </c>
      <c r="B31" s="327" t="s">
        <v>1020</v>
      </c>
      <c r="C31" s="91">
        <v>7130810102</v>
      </c>
      <c r="D31" s="53" t="s">
        <v>26</v>
      </c>
      <c r="E31" s="404">
        <f>VLOOKUP(C31,'SOR RATE'!A:D,4,0)</f>
        <v>349</v>
      </c>
      <c r="F31" s="53">
        <v>30</v>
      </c>
      <c r="G31" s="416">
        <f t="shared" si="1"/>
        <v>10470</v>
      </c>
      <c r="H31" s="392"/>
    </row>
    <row r="32" spans="1:8" ht="18" customHeight="1">
      <c r="A32" s="402">
        <v>15</v>
      </c>
      <c r="B32" s="327" t="s">
        <v>175</v>
      </c>
      <c r="C32" s="328">
        <v>7130311008</v>
      </c>
      <c r="D32" s="53" t="s">
        <v>307</v>
      </c>
      <c r="E32" s="404">
        <f>VLOOKUP(C32,'SOR RATE'!A:D,4,0)/1000</f>
        <v>15.99</v>
      </c>
      <c r="F32" s="53">
        <v>60</v>
      </c>
      <c r="G32" s="416">
        <f t="shared" si="1"/>
        <v>959.4</v>
      </c>
      <c r="H32" s="392"/>
    </row>
    <row r="33" spans="1:8" ht="16.5" customHeight="1">
      <c r="A33" s="402">
        <v>16</v>
      </c>
      <c r="B33" s="327" t="s">
        <v>1022</v>
      </c>
      <c r="C33" s="328">
        <v>7130390007</v>
      </c>
      <c r="D33" s="53" t="s">
        <v>26</v>
      </c>
      <c r="E33" s="404">
        <f>VLOOKUP(C33,'SOR RATE'!A:D,4,0)</f>
        <v>172</v>
      </c>
      <c r="F33" s="53">
        <v>10</v>
      </c>
      <c r="G33" s="416">
        <f t="shared" si="1"/>
        <v>1720</v>
      </c>
      <c r="H33" s="392"/>
    </row>
    <row r="34" spans="1:8" ht="15" customHeight="1">
      <c r="A34" s="402">
        <v>17</v>
      </c>
      <c r="B34" s="327" t="s">
        <v>1023</v>
      </c>
      <c r="C34" s="328">
        <v>7130390019</v>
      </c>
      <c r="D34" s="53" t="s">
        <v>26</v>
      </c>
      <c r="E34" s="404">
        <f>VLOOKUP(C34,'SOR RATE'!A:D,4,0)</f>
        <v>28</v>
      </c>
      <c r="F34" s="53">
        <v>10</v>
      </c>
      <c r="G34" s="416">
        <f t="shared" si="1"/>
        <v>280</v>
      </c>
      <c r="H34" s="392"/>
    </row>
    <row r="35" spans="1:8" ht="18" customHeight="1">
      <c r="A35" s="402">
        <v>18</v>
      </c>
      <c r="B35" s="327" t="s">
        <v>889</v>
      </c>
      <c r="C35" s="328">
        <v>7130610206</v>
      </c>
      <c r="D35" s="53" t="s">
        <v>32</v>
      </c>
      <c r="E35" s="404">
        <f>VLOOKUP(C35,'SOR RATE'!A:D,4,0)/1000</f>
        <v>66.528</v>
      </c>
      <c r="F35" s="53">
        <v>70</v>
      </c>
      <c r="G35" s="416">
        <f t="shared" si="1"/>
        <v>4656.96</v>
      </c>
      <c r="H35" s="30"/>
    </row>
    <row r="36" spans="1:9" ht="15">
      <c r="A36" s="398">
        <v>19</v>
      </c>
      <c r="B36" s="439" t="s">
        <v>937</v>
      </c>
      <c r="C36" s="468"/>
      <c r="D36" s="53"/>
      <c r="E36" s="53"/>
      <c r="F36" s="53"/>
      <c r="G36" s="441">
        <f>SUM(G10:G35)</f>
        <v>181581.97999999998</v>
      </c>
      <c r="H36" s="442"/>
      <c r="I36" s="392"/>
    </row>
    <row r="37" spans="1:9" ht="17.25" customHeight="1">
      <c r="A37" s="53">
        <v>20</v>
      </c>
      <c r="B37" s="443" t="s">
        <v>936</v>
      </c>
      <c r="C37" s="445"/>
      <c r="D37" s="469"/>
      <c r="E37" s="328">
        <v>0.09</v>
      </c>
      <c r="F37" s="469"/>
      <c r="G37" s="417">
        <f>G36*E37</f>
        <v>16342.378199999997</v>
      </c>
      <c r="H37" s="442"/>
      <c r="I37" s="446"/>
    </row>
    <row r="38" spans="1:7" ht="18.75" customHeight="1">
      <c r="A38" s="55">
        <v>21</v>
      </c>
      <c r="B38" s="85" t="s">
        <v>824</v>
      </c>
      <c r="C38" s="447"/>
      <c r="D38" s="53" t="s">
        <v>1013</v>
      </c>
      <c r="E38" s="516">
        <f>145.2*1.086275*1.1112*1.0685</f>
        <v>187.27213435563596</v>
      </c>
      <c r="F38" s="429">
        <v>20</v>
      </c>
      <c r="G38" s="417">
        <f>E38*F38</f>
        <v>3745.442687112719</v>
      </c>
    </row>
    <row r="39" spans="1:7" ht="17.25" customHeight="1">
      <c r="A39" s="449" t="s">
        <v>721</v>
      </c>
      <c r="B39" s="443" t="s">
        <v>310</v>
      </c>
      <c r="C39" s="427"/>
      <c r="D39" s="450" t="s">
        <v>28</v>
      </c>
      <c r="E39" s="119">
        <f>1664*1.27*1.0891*1.086275*1.1112*1.0685</f>
        <v>2968.460981603261</v>
      </c>
      <c r="F39" s="53">
        <v>3.4</v>
      </c>
      <c r="G39" s="417">
        <f>F39*E39</f>
        <v>10092.767337451089</v>
      </c>
    </row>
    <row r="40" spans="1:8" ht="15.75" customHeight="1">
      <c r="A40" s="402">
        <v>23</v>
      </c>
      <c r="B40" s="327" t="s">
        <v>177</v>
      </c>
      <c r="C40" s="427"/>
      <c r="D40" s="453"/>
      <c r="E40" s="54"/>
      <c r="F40" s="454"/>
      <c r="G40" s="453">
        <v>35903.79</v>
      </c>
      <c r="H40" s="149"/>
    </row>
    <row r="41" spans="1:7" ht="33" customHeight="1">
      <c r="A41" s="402">
        <v>24</v>
      </c>
      <c r="B41" s="327" t="s">
        <v>412</v>
      </c>
      <c r="C41" s="427"/>
      <c r="D41" s="453"/>
      <c r="E41" s="54"/>
      <c r="F41" s="454"/>
      <c r="G41" s="453">
        <f>10334.37*0.9368</f>
        <v>9681.237816</v>
      </c>
    </row>
    <row r="42" spans="1:8" ht="15.75" customHeight="1">
      <c r="A42" s="398">
        <v>25</v>
      </c>
      <c r="B42" s="439" t="s">
        <v>938</v>
      </c>
      <c r="C42" s="427"/>
      <c r="D42" s="453"/>
      <c r="E42" s="54"/>
      <c r="F42" s="454"/>
      <c r="G42" s="739">
        <f>G36+G37+G38+G39+G40+G41</f>
        <v>257347.5960405638</v>
      </c>
      <c r="H42" s="455"/>
    </row>
    <row r="43" spans="1:8" ht="31.5" customHeight="1">
      <c r="A43" s="402">
        <v>26</v>
      </c>
      <c r="B43" s="443" t="s">
        <v>939</v>
      </c>
      <c r="C43" s="427"/>
      <c r="D43" s="453"/>
      <c r="E43" s="54">
        <v>0.11</v>
      </c>
      <c r="F43" s="454"/>
      <c r="G43" s="453">
        <f>G36*E43</f>
        <v>19974.017799999998</v>
      </c>
      <c r="H43" s="455"/>
    </row>
    <row r="44" spans="1:8" ht="16.5" customHeight="1">
      <c r="A44" s="402">
        <v>27</v>
      </c>
      <c r="B44" s="327" t="s">
        <v>1338</v>
      </c>
      <c r="C44" s="427"/>
      <c r="D44" s="417"/>
      <c r="E44" s="53"/>
      <c r="F44" s="454"/>
      <c r="G44" s="417">
        <f>G42+G43</f>
        <v>277321.6138405638</v>
      </c>
      <c r="H44" s="171"/>
    </row>
    <row r="45" spans="1:7" ht="16.5" customHeight="1">
      <c r="A45" s="456">
        <v>28</v>
      </c>
      <c r="B45" s="457" t="s">
        <v>1339</v>
      </c>
      <c r="C45" s="473"/>
      <c r="D45" s="441"/>
      <c r="E45" s="398"/>
      <c r="F45" s="454"/>
      <c r="G45" s="441">
        <f>ROUND(G44,0)</f>
        <v>277322</v>
      </c>
    </row>
    <row r="46" spans="1:7" ht="10.5" customHeight="1">
      <c r="A46" s="474"/>
      <c r="B46" s="64"/>
      <c r="C46" s="475"/>
      <c r="D46" s="476"/>
      <c r="E46" s="474"/>
      <c r="F46" s="477"/>
      <c r="G46" s="476"/>
    </row>
    <row r="47" spans="1:7" ht="15" customHeight="1">
      <c r="A47" s="463"/>
      <c r="B47" s="741" t="s">
        <v>827</v>
      </c>
      <c r="C47" s="740"/>
      <c r="D47" s="460"/>
      <c r="E47" s="460"/>
      <c r="F47" s="460"/>
      <c r="G47" s="460"/>
    </row>
    <row r="48" spans="1:7" ht="14.25">
      <c r="A48" s="459"/>
      <c r="B48" s="460"/>
      <c r="C48" s="460"/>
      <c r="D48" s="460"/>
      <c r="E48" s="460"/>
      <c r="F48" s="460"/>
      <c r="G48" s="460"/>
    </row>
  </sheetData>
  <sheetProtection/>
  <mergeCells count="14">
    <mergeCell ref="A24:A27"/>
    <mergeCell ref="B1:E1"/>
    <mergeCell ref="A7:A8"/>
    <mergeCell ref="B7:B8"/>
    <mergeCell ref="C7:C8"/>
    <mergeCell ref="D7:D8"/>
    <mergeCell ref="E7:E8"/>
    <mergeCell ref="B3:F3"/>
    <mergeCell ref="I12:L12"/>
    <mergeCell ref="I13:L13"/>
    <mergeCell ref="I14:L14"/>
    <mergeCell ref="F7:G7"/>
    <mergeCell ref="A19:A21"/>
    <mergeCell ref="A22:A23"/>
  </mergeCells>
  <conditionalFormatting sqref="B36:B37">
    <cfRule type="cellIs" priority="1" dxfId="0" operator="equal" stopIfTrue="1">
      <formula>"?"</formula>
    </cfRule>
  </conditionalFormatting>
  <printOptions/>
  <pageMargins left="0.81" right="0.16" top="0.73" bottom="0.35" header="0.5" footer="0.27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R40"/>
  <sheetViews>
    <sheetView zoomScale="85" zoomScaleNormal="8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30.8515625" style="2" customWidth="1"/>
    <col min="3" max="3" width="15.00390625" style="23" customWidth="1"/>
    <col min="4" max="4" width="5.8515625" style="2" bestFit="1" customWidth="1"/>
    <col min="5" max="5" width="5.7109375" style="2" bestFit="1" customWidth="1"/>
    <col min="6" max="6" width="10.28125" style="2" bestFit="1" customWidth="1"/>
    <col min="7" max="7" width="11.421875" style="2" customWidth="1"/>
    <col min="8" max="8" width="5.7109375" style="2" bestFit="1" customWidth="1"/>
    <col min="9" max="9" width="10.28125" style="2" bestFit="1" customWidth="1"/>
    <col min="10" max="10" width="11.8515625" style="2" customWidth="1"/>
    <col min="11" max="11" width="5.7109375" style="2" bestFit="1" customWidth="1"/>
    <col min="12" max="12" width="10.28125" style="2" bestFit="1" customWidth="1"/>
    <col min="13" max="13" width="12.8515625" style="2" customWidth="1"/>
    <col min="14" max="14" width="5.7109375" style="2" bestFit="1" customWidth="1"/>
    <col min="15" max="15" width="10.28125" style="2" bestFit="1" customWidth="1"/>
    <col min="16" max="16" width="12.140625" style="2" customWidth="1"/>
    <col min="17" max="17" width="18.140625" style="2" customWidth="1"/>
    <col min="18" max="18" width="10.140625" style="2" customWidth="1"/>
    <col min="19" max="16384" width="9.140625" style="2" customWidth="1"/>
  </cols>
  <sheetData>
    <row r="1" spans="2:16" ht="20.25">
      <c r="B1" s="35"/>
      <c r="C1" s="35"/>
      <c r="D1" s="886" t="s">
        <v>890</v>
      </c>
      <c r="E1" s="886"/>
      <c r="F1" s="886"/>
      <c r="G1" s="886"/>
      <c r="H1" s="886"/>
      <c r="I1" s="886"/>
      <c r="J1" s="35"/>
      <c r="K1" s="35"/>
      <c r="L1" s="35"/>
      <c r="M1" s="35"/>
      <c r="N1" s="35"/>
      <c r="O1" s="35"/>
      <c r="P1" s="35"/>
    </row>
    <row r="2" ht="10.5" customHeight="1"/>
    <row r="3" spans="3:16" ht="42" customHeight="1">
      <c r="C3" s="862" t="s">
        <v>1103</v>
      </c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197"/>
      <c r="O3" s="197"/>
      <c r="P3" s="44"/>
    </row>
    <row r="4" spans="1:17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8"/>
    </row>
    <row r="5" spans="1:16" ht="20.25" customHeight="1">
      <c r="A5" s="52"/>
      <c r="B5" s="38"/>
      <c r="C5" s="52"/>
      <c r="D5" s="38"/>
      <c r="E5" s="38"/>
      <c r="F5" s="38"/>
      <c r="G5" s="38"/>
      <c r="H5" s="38"/>
      <c r="I5" s="38"/>
      <c r="J5" s="38"/>
      <c r="K5" s="38"/>
      <c r="L5" s="38"/>
      <c r="M5" s="38"/>
      <c r="N5" s="887" t="s">
        <v>1003</v>
      </c>
      <c r="O5" s="887"/>
      <c r="P5" s="44"/>
    </row>
    <row r="6" spans="1:16" ht="14.25" customHeight="1">
      <c r="A6" s="52"/>
      <c r="B6" s="38"/>
      <c r="C6" s="5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0"/>
      <c r="P6" s="20"/>
    </row>
    <row r="7" spans="1:16" ht="15.75">
      <c r="A7" s="794" t="s">
        <v>191</v>
      </c>
      <c r="B7" s="797" t="s">
        <v>23</v>
      </c>
      <c r="C7" s="792" t="s">
        <v>751</v>
      </c>
      <c r="D7" s="797" t="s">
        <v>24</v>
      </c>
      <c r="E7" s="797" t="s">
        <v>75</v>
      </c>
      <c r="F7" s="797"/>
      <c r="G7" s="797"/>
      <c r="H7" s="797" t="s">
        <v>76</v>
      </c>
      <c r="I7" s="797"/>
      <c r="J7" s="797"/>
      <c r="K7" s="797" t="s">
        <v>77</v>
      </c>
      <c r="L7" s="797"/>
      <c r="M7" s="797"/>
      <c r="N7" s="797" t="s">
        <v>78</v>
      </c>
      <c r="O7" s="797"/>
      <c r="P7" s="797"/>
    </row>
    <row r="8" spans="1:16" ht="15.75">
      <c r="A8" s="796"/>
      <c r="B8" s="797"/>
      <c r="C8" s="792"/>
      <c r="D8" s="797"/>
      <c r="E8" s="12" t="s">
        <v>178</v>
      </c>
      <c r="F8" s="12" t="s">
        <v>1010</v>
      </c>
      <c r="G8" s="12" t="s">
        <v>1011</v>
      </c>
      <c r="H8" s="12" t="s">
        <v>178</v>
      </c>
      <c r="I8" s="12" t="s">
        <v>1010</v>
      </c>
      <c r="J8" s="12" t="s">
        <v>1011</v>
      </c>
      <c r="K8" s="12" t="s">
        <v>178</v>
      </c>
      <c r="L8" s="12" t="s">
        <v>1010</v>
      </c>
      <c r="M8" s="12" t="s">
        <v>1011</v>
      </c>
      <c r="N8" s="12" t="s">
        <v>178</v>
      </c>
      <c r="O8" s="12" t="s">
        <v>1010</v>
      </c>
      <c r="P8" s="12" t="s">
        <v>1011</v>
      </c>
    </row>
    <row r="9" spans="1:16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641">
        <v>16</v>
      </c>
    </row>
    <row r="10" spans="1:17" ht="51" customHeight="1">
      <c r="A10" s="79" t="s">
        <v>1048</v>
      </c>
      <c r="B10" s="77" t="s">
        <v>1104</v>
      </c>
      <c r="C10" s="9">
        <v>7131300046</v>
      </c>
      <c r="D10" s="79" t="s">
        <v>26</v>
      </c>
      <c r="E10" s="79">
        <v>1</v>
      </c>
      <c r="F10" s="270">
        <f>VLOOKUP(C10,'SOR RATE'!A:D,4,0)</f>
        <v>2326</v>
      </c>
      <c r="G10" s="266" t="s">
        <v>27</v>
      </c>
      <c r="H10" s="12"/>
      <c r="I10" s="12"/>
      <c r="J10" s="12"/>
      <c r="K10" s="12"/>
      <c r="L10" s="12"/>
      <c r="M10" s="12"/>
      <c r="N10" s="12"/>
      <c r="O10" s="12"/>
      <c r="P10" s="12"/>
      <c r="Q10" s="61"/>
    </row>
    <row r="11" spans="1:17" ht="43.5" customHeight="1">
      <c r="A11" s="72" t="s">
        <v>1105</v>
      </c>
      <c r="B11" s="77" t="s">
        <v>36</v>
      </c>
      <c r="C11" s="9">
        <v>7131310997</v>
      </c>
      <c r="D11" s="265" t="s">
        <v>26</v>
      </c>
      <c r="E11" s="265">
        <v>1</v>
      </c>
      <c r="F11" s="270">
        <f>VLOOKUP(C11,'SOR RATE'!A:D,4,0)</f>
        <v>2487</v>
      </c>
      <c r="G11" s="270">
        <f>F11*E11</f>
        <v>2487</v>
      </c>
      <c r="H11" s="265">
        <v>1</v>
      </c>
      <c r="I11" s="114">
        <f>+F11</f>
        <v>2487</v>
      </c>
      <c r="J11" s="114">
        <f>I11*H11</f>
        <v>2487</v>
      </c>
      <c r="K11" s="265">
        <v>1</v>
      </c>
      <c r="L11" s="114">
        <f>+F11</f>
        <v>2487</v>
      </c>
      <c r="M11" s="114">
        <f>L11*K11</f>
        <v>2487</v>
      </c>
      <c r="N11" s="265">
        <v>1</v>
      </c>
      <c r="O11" s="114">
        <f>+F11</f>
        <v>2487</v>
      </c>
      <c r="P11" s="114">
        <f>O11*N11</f>
        <v>2487</v>
      </c>
      <c r="Q11" s="61"/>
    </row>
    <row r="12" spans="1:16" ht="15.75" customHeight="1">
      <c r="A12" s="789">
        <v>2</v>
      </c>
      <c r="B12" s="151" t="s">
        <v>1106</v>
      </c>
      <c r="C12" s="642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4"/>
    </row>
    <row r="13" spans="1:16" ht="16.5" customHeight="1">
      <c r="A13" s="790"/>
      <c r="B13" s="303" t="s">
        <v>1107</v>
      </c>
      <c r="C13" s="301">
        <v>7132230016</v>
      </c>
      <c r="D13" s="265" t="s">
        <v>26</v>
      </c>
      <c r="E13" s="266">
        <v>4</v>
      </c>
      <c r="F13" s="270">
        <f>VLOOKUP(C13,'SOR RATE'!A:D,4,0)</f>
        <v>335</v>
      </c>
      <c r="G13" s="270">
        <f>F13*E13</f>
        <v>1340</v>
      </c>
      <c r="H13" s="265">
        <v>4</v>
      </c>
      <c r="I13" s="114">
        <f>+F13</f>
        <v>335</v>
      </c>
      <c r="J13" s="114">
        <f>I13*H13</f>
        <v>1340</v>
      </c>
      <c r="K13" s="266" t="s">
        <v>27</v>
      </c>
      <c r="L13" s="266" t="s">
        <v>27</v>
      </c>
      <c r="M13" s="266" t="s">
        <v>27</v>
      </c>
      <c r="N13" s="266" t="s">
        <v>27</v>
      </c>
      <c r="O13" s="266" t="s">
        <v>27</v>
      </c>
      <c r="P13" s="266" t="s">
        <v>27</v>
      </c>
    </row>
    <row r="14" spans="1:16" ht="15.75" customHeight="1">
      <c r="A14" s="790"/>
      <c r="B14" s="303" t="s">
        <v>1108</v>
      </c>
      <c r="C14" s="301">
        <v>7132230019</v>
      </c>
      <c r="D14" s="265" t="s">
        <v>26</v>
      </c>
      <c r="E14" s="266" t="s">
        <v>27</v>
      </c>
      <c r="F14" s="266" t="s">
        <v>27</v>
      </c>
      <c r="G14" s="266" t="s">
        <v>27</v>
      </c>
      <c r="H14" s="266" t="s">
        <v>27</v>
      </c>
      <c r="I14" s="266" t="s">
        <v>27</v>
      </c>
      <c r="J14" s="266" t="s">
        <v>27</v>
      </c>
      <c r="K14" s="265">
        <v>4</v>
      </c>
      <c r="L14" s="114">
        <f>VLOOKUP(C14,'SOR RATE'!A:D,4,0)</f>
        <v>335</v>
      </c>
      <c r="M14" s="114">
        <f>L14*K14</f>
        <v>1340</v>
      </c>
      <c r="N14" s="266" t="s">
        <v>27</v>
      </c>
      <c r="O14" s="266" t="s">
        <v>27</v>
      </c>
      <c r="P14" s="266" t="s">
        <v>27</v>
      </c>
    </row>
    <row r="15" spans="1:16" ht="15.75" customHeight="1">
      <c r="A15" s="791"/>
      <c r="B15" s="645" t="s">
        <v>1109</v>
      </c>
      <c r="C15" s="301">
        <v>7132230021</v>
      </c>
      <c r="D15" s="265" t="s">
        <v>26</v>
      </c>
      <c r="E15" s="266" t="s">
        <v>27</v>
      </c>
      <c r="F15" s="266" t="s">
        <v>27</v>
      </c>
      <c r="G15" s="266" t="s">
        <v>27</v>
      </c>
      <c r="H15" s="266" t="s">
        <v>27</v>
      </c>
      <c r="I15" s="266" t="s">
        <v>27</v>
      </c>
      <c r="J15" s="266" t="s">
        <v>27</v>
      </c>
      <c r="K15" s="266" t="s">
        <v>27</v>
      </c>
      <c r="L15" s="266" t="s">
        <v>27</v>
      </c>
      <c r="M15" s="266" t="s">
        <v>27</v>
      </c>
      <c r="N15" s="265">
        <v>4</v>
      </c>
      <c r="O15" s="114">
        <f>VLOOKUP(C15,'SOR RATE'!A:D,4,0)</f>
        <v>268</v>
      </c>
      <c r="P15" s="114">
        <f>O15*N15</f>
        <v>1072</v>
      </c>
    </row>
    <row r="16" spans="1:16" ht="50.25" customHeight="1">
      <c r="A16" s="79">
        <v>3</v>
      </c>
      <c r="B16" s="77" t="s">
        <v>1110</v>
      </c>
      <c r="C16" s="9">
        <v>7132406420</v>
      </c>
      <c r="D16" s="265" t="s">
        <v>26</v>
      </c>
      <c r="E16" s="265">
        <v>1</v>
      </c>
      <c r="F16" s="270">
        <f>VLOOKUP(C16,'SOR RATE'!A:D,4,0)</f>
        <v>2437</v>
      </c>
      <c r="G16" s="270">
        <f>F16*E16</f>
        <v>2437</v>
      </c>
      <c r="H16" s="265">
        <v>1</v>
      </c>
      <c r="I16" s="114">
        <f>+F16</f>
        <v>2437</v>
      </c>
      <c r="J16" s="114">
        <f>I16*H16</f>
        <v>2437</v>
      </c>
      <c r="K16" s="265">
        <v>1</v>
      </c>
      <c r="L16" s="114">
        <f>+I16</f>
        <v>2437</v>
      </c>
      <c r="M16" s="114">
        <f>L16*K16</f>
        <v>2437</v>
      </c>
      <c r="N16" s="265">
        <v>1</v>
      </c>
      <c r="O16" s="114">
        <f>+L16</f>
        <v>2437</v>
      </c>
      <c r="P16" s="114">
        <f>O16*N16</f>
        <v>2437</v>
      </c>
    </row>
    <row r="17" spans="1:16" ht="36" customHeight="1">
      <c r="A17" s="72">
        <v>4</v>
      </c>
      <c r="B17" s="77" t="s">
        <v>1111</v>
      </c>
      <c r="C17" s="9">
        <v>7130310654</v>
      </c>
      <c r="D17" s="72" t="s">
        <v>307</v>
      </c>
      <c r="E17" s="72">
        <v>12</v>
      </c>
      <c r="F17" s="270">
        <f>VLOOKUP(C17,'SOR RATE'!A:D,4,0)/1000</f>
        <v>67.671</v>
      </c>
      <c r="G17" s="270">
        <f>F17*E17</f>
        <v>812.0520000000001</v>
      </c>
      <c r="H17" s="265">
        <v>12</v>
      </c>
      <c r="I17" s="114">
        <f>+F17</f>
        <v>67.671</v>
      </c>
      <c r="J17" s="114">
        <f>I17*H17</f>
        <v>812.0520000000001</v>
      </c>
      <c r="K17" s="265">
        <v>12</v>
      </c>
      <c r="L17" s="114">
        <f>+I17</f>
        <v>67.671</v>
      </c>
      <c r="M17" s="114">
        <f>L17*K17</f>
        <v>812.0520000000001</v>
      </c>
      <c r="N17" s="265">
        <v>12</v>
      </c>
      <c r="O17" s="114">
        <f>+L17</f>
        <v>67.671</v>
      </c>
      <c r="P17" s="114">
        <f>O17*N17</f>
        <v>812.0520000000001</v>
      </c>
    </row>
    <row r="18" spans="1:18" ht="20.25" customHeight="1">
      <c r="A18" s="12">
        <v>5</v>
      </c>
      <c r="B18" s="75" t="s">
        <v>937</v>
      </c>
      <c r="C18" s="12"/>
      <c r="D18" s="12"/>
      <c r="E18" s="12"/>
      <c r="F18" s="12"/>
      <c r="G18" s="80">
        <f>SUM(G11:G17)</f>
        <v>7076.052</v>
      </c>
      <c r="H18" s="80"/>
      <c r="I18" s="80"/>
      <c r="J18" s="80">
        <f>SUM(J11:J17)</f>
        <v>7076.052</v>
      </c>
      <c r="K18" s="80"/>
      <c r="L18" s="80"/>
      <c r="M18" s="80">
        <f>SUM(M11:M17)</f>
        <v>7076.052</v>
      </c>
      <c r="N18" s="80"/>
      <c r="O18" s="80"/>
      <c r="P18" s="80">
        <f>SUM(P11:P17)</f>
        <v>6808.052</v>
      </c>
      <c r="Q18" s="61"/>
      <c r="R18" s="5"/>
    </row>
    <row r="19" spans="1:18" ht="20.25" customHeight="1">
      <c r="A19" s="310">
        <v>6</v>
      </c>
      <c r="B19" s="74" t="s">
        <v>936</v>
      </c>
      <c r="C19" s="350"/>
      <c r="D19" s="351"/>
      <c r="E19" s="351"/>
      <c r="F19" s="79">
        <v>0.09</v>
      </c>
      <c r="G19" s="270">
        <f>G18*F19</f>
        <v>636.8446799999999</v>
      </c>
      <c r="H19" s="646"/>
      <c r="I19" s="79">
        <v>0.09</v>
      </c>
      <c r="J19" s="270">
        <f>J18*I19</f>
        <v>636.8446799999999</v>
      </c>
      <c r="K19" s="646"/>
      <c r="L19" s="79">
        <v>0.09</v>
      </c>
      <c r="M19" s="270">
        <f>M18*L19</f>
        <v>636.8446799999999</v>
      </c>
      <c r="N19" s="646"/>
      <c r="O19" s="79">
        <v>0.09</v>
      </c>
      <c r="P19" s="270">
        <f>P18*O19</f>
        <v>612.7246799999999</v>
      </c>
      <c r="Q19" s="61"/>
      <c r="R19" s="58"/>
    </row>
    <row r="20" spans="1:16" ht="37.5" customHeight="1">
      <c r="A20" s="79">
        <v>7</v>
      </c>
      <c r="B20" s="112" t="s">
        <v>1112</v>
      </c>
      <c r="C20" s="265"/>
      <c r="D20" s="265"/>
      <c r="E20" s="265"/>
      <c r="F20" s="265"/>
      <c r="G20" s="114">
        <f>1.1*1.1*1210*1.2*1.1797*1.1402*0.9368</f>
        <v>2213.8667865367047</v>
      </c>
      <c r="H20" s="265"/>
      <c r="I20" s="265"/>
      <c r="J20" s="114">
        <f>+G20</f>
        <v>2213.8667865367047</v>
      </c>
      <c r="K20" s="265"/>
      <c r="L20" s="265"/>
      <c r="M20" s="114">
        <f>+G20</f>
        <v>2213.8667865367047</v>
      </c>
      <c r="N20" s="265"/>
      <c r="O20" s="265"/>
      <c r="P20" s="114">
        <f>+G20</f>
        <v>2213.8667865367047</v>
      </c>
    </row>
    <row r="21" spans="1:17" ht="19.5" customHeight="1">
      <c r="A21" s="12">
        <v>8</v>
      </c>
      <c r="B21" s="75" t="s">
        <v>938</v>
      </c>
      <c r="C21" s="265"/>
      <c r="D21" s="265"/>
      <c r="E21" s="265"/>
      <c r="F21" s="265"/>
      <c r="G21" s="80">
        <f>G18+G19+G20</f>
        <v>9926.763466536704</v>
      </c>
      <c r="H21" s="80"/>
      <c r="I21" s="80"/>
      <c r="J21" s="80">
        <f>J18+J19+J20</f>
        <v>9926.763466536704</v>
      </c>
      <c r="K21" s="80"/>
      <c r="L21" s="80"/>
      <c r="M21" s="80">
        <f>M18+M19+M20</f>
        <v>9926.763466536704</v>
      </c>
      <c r="N21" s="80"/>
      <c r="O21" s="80"/>
      <c r="P21" s="80">
        <f>P18+P19+P20</f>
        <v>9634.643466536705</v>
      </c>
      <c r="Q21" s="62"/>
    </row>
    <row r="22" spans="1:17" ht="51" customHeight="1">
      <c r="A22" s="79">
        <v>9</v>
      </c>
      <c r="B22" s="74" t="s">
        <v>939</v>
      </c>
      <c r="C22" s="265"/>
      <c r="D22" s="265"/>
      <c r="E22" s="265"/>
      <c r="F22" s="265">
        <v>0.11</v>
      </c>
      <c r="G22" s="114">
        <f>G18*F22</f>
        <v>778.36572</v>
      </c>
      <c r="H22" s="265"/>
      <c r="I22" s="265">
        <v>0.11</v>
      </c>
      <c r="J22" s="114">
        <f>J18*I22</f>
        <v>778.36572</v>
      </c>
      <c r="K22" s="265"/>
      <c r="L22" s="265">
        <v>0.11</v>
      </c>
      <c r="M22" s="114">
        <f>M18*L22</f>
        <v>778.36572</v>
      </c>
      <c r="N22" s="265"/>
      <c r="O22" s="265">
        <v>0.11</v>
      </c>
      <c r="P22" s="114">
        <f>P18*O22</f>
        <v>748.88572</v>
      </c>
      <c r="Q22" s="62"/>
    </row>
    <row r="23" spans="1:16" ht="35.25" customHeight="1">
      <c r="A23" s="79">
        <v>10</v>
      </c>
      <c r="B23" s="78" t="s">
        <v>1113</v>
      </c>
      <c r="C23" s="79"/>
      <c r="D23" s="79"/>
      <c r="E23" s="79"/>
      <c r="F23" s="79"/>
      <c r="G23" s="270">
        <f>G21+G22</f>
        <v>10705.129186536704</v>
      </c>
      <c r="H23" s="270"/>
      <c r="I23" s="270"/>
      <c r="J23" s="270">
        <f>J21+J22</f>
        <v>10705.129186536704</v>
      </c>
      <c r="K23" s="270"/>
      <c r="L23" s="270"/>
      <c r="M23" s="270">
        <f>M21+M22</f>
        <v>10705.129186536704</v>
      </c>
      <c r="N23" s="270"/>
      <c r="O23" s="270"/>
      <c r="P23" s="270">
        <f>P21+P22</f>
        <v>10383.529186536705</v>
      </c>
    </row>
    <row r="24" spans="1:16" ht="51" customHeight="1">
      <c r="A24" s="12">
        <v>11</v>
      </c>
      <c r="B24" s="83" t="s">
        <v>1347</v>
      </c>
      <c r="C24" s="12"/>
      <c r="D24" s="12"/>
      <c r="E24" s="12"/>
      <c r="F24" s="12"/>
      <c r="G24" s="80">
        <f>ROUND(G23,0)</f>
        <v>10705</v>
      </c>
      <c r="H24" s="12"/>
      <c r="I24" s="12"/>
      <c r="J24" s="80">
        <f>ROUND(J23,0)</f>
        <v>10705</v>
      </c>
      <c r="K24" s="12"/>
      <c r="L24" s="12"/>
      <c r="M24" s="80">
        <f>ROUND(M23,0)</f>
        <v>10705</v>
      </c>
      <c r="N24" s="12"/>
      <c r="O24" s="12"/>
      <c r="P24" s="80">
        <f>ROUND(P23,0)</f>
        <v>10384</v>
      </c>
    </row>
    <row r="25" spans="1:16" ht="15" customHeight="1">
      <c r="A25" s="48"/>
      <c r="B25" s="5"/>
      <c r="C25" s="4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customHeight="1">
      <c r="A26" s="888" t="s">
        <v>827</v>
      </c>
      <c r="B26" s="888"/>
      <c r="C26" s="888"/>
      <c r="D26" s="888"/>
      <c r="E26" s="888"/>
      <c r="F26" s="888"/>
      <c r="G26" s="381"/>
      <c r="H26" s="5"/>
      <c r="I26" s="5"/>
      <c r="J26" s="5"/>
      <c r="K26" s="5"/>
      <c r="L26" s="5"/>
      <c r="M26" s="5"/>
      <c r="N26" s="5"/>
      <c r="O26" s="5"/>
      <c r="P26" s="5"/>
    </row>
    <row r="27" spans="1:16" ht="7.5" customHeight="1" hidden="1">
      <c r="A27" s="889">
        <v>38</v>
      </c>
      <c r="B27" s="889"/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</row>
    <row r="28" spans="1:16" ht="15">
      <c r="A28" s="48"/>
      <c r="B28" s="5"/>
      <c r="C28" s="4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>
      <c r="A29" s="48"/>
      <c r="B29" s="5"/>
      <c r="C29" s="4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48"/>
      <c r="B30" s="5"/>
      <c r="C30" s="4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48"/>
      <c r="B31" s="5"/>
      <c r="C31" s="4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48"/>
      <c r="B32" s="5"/>
      <c r="C32" s="4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48"/>
      <c r="B33" s="5"/>
      <c r="C33" s="4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48"/>
      <c r="B34" s="5"/>
      <c r="C34" s="4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48"/>
      <c r="B35" s="5"/>
      <c r="C35" s="4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48"/>
      <c r="B36" s="5"/>
      <c r="C36" s="4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48"/>
      <c r="B37" s="5"/>
      <c r="C37" s="4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48"/>
      <c r="B38" s="5"/>
      <c r="C38" s="4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48"/>
      <c r="B39" s="5"/>
      <c r="C39" s="4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48"/>
      <c r="B40" s="5"/>
      <c r="C40" s="4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N7:P7"/>
    <mergeCell ref="A12:A15"/>
    <mergeCell ref="A26:F26"/>
    <mergeCell ref="A27:P27"/>
    <mergeCell ref="D1:I1"/>
    <mergeCell ref="C3:M3"/>
    <mergeCell ref="N5:O5"/>
    <mergeCell ref="A7:A8"/>
    <mergeCell ref="B7:B8"/>
    <mergeCell ref="C7:C8"/>
    <mergeCell ref="D7:D8"/>
    <mergeCell ref="E7:G7"/>
    <mergeCell ref="H7:J7"/>
    <mergeCell ref="K7:M7"/>
  </mergeCells>
  <printOptions horizontalCentered="1"/>
  <pageMargins left="0.61" right="0.14" top="0.73" bottom="0.3" header="0.56" footer="0.16"/>
  <pageSetup horizontalDpi="600" verticalDpi="600" orientation="landscape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2:L2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421875" style="23" customWidth="1"/>
    <col min="2" max="2" width="46.28125" style="2" customWidth="1"/>
    <col min="3" max="3" width="14.57421875" style="2" bestFit="1" customWidth="1"/>
    <col min="4" max="4" width="6.421875" style="2" customWidth="1"/>
    <col min="5" max="5" width="5.421875" style="2" customWidth="1"/>
    <col min="6" max="6" width="8.421875" style="2" bestFit="1" customWidth="1"/>
    <col min="7" max="7" width="8.57421875" style="2" bestFit="1" customWidth="1"/>
    <col min="8" max="9" width="8.57421875" style="2" customWidth="1"/>
    <col min="10" max="10" width="11.7109375" style="2" customWidth="1"/>
    <col min="11" max="11" width="19.00390625" style="2" customWidth="1"/>
    <col min="12" max="12" width="11.00390625" style="2" bestFit="1" customWidth="1"/>
    <col min="13" max="15" width="9.140625" style="2" customWidth="1"/>
    <col min="16" max="16" width="11.7109375" style="2" customWidth="1"/>
    <col min="17" max="16384" width="9.140625" style="2" customWidth="1"/>
  </cols>
  <sheetData>
    <row r="2" spans="1:10" ht="18" customHeight="1">
      <c r="A2" s="298"/>
      <c r="B2" s="862" t="s">
        <v>1348</v>
      </c>
      <c r="C2" s="862"/>
      <c r="D2" s="862"/>
      <c r="E2" s="45"/>
      <c r="F2" s="299"/>
      <c r="G2" s="299"/>
      <c r="H2" s="299"/>
      <c r="I2" s="299"/>
      <c r="J2" s="299"/>
    </row>
    <row r="3" spans="1:10" ht="10.5" customHeight="1">
      <c r="A3" s="298"/>
      <c r="B3" s="201"/>
      <c r="C3" s="201"/>
      <c r="D3" s="201"/>
      <c r="E3" s="45"/>
      <c r="F3" s="299"/>
      <c r="G3" s="299"/>
      <c r="H3" s="299"/>
      <c r="I3" s="299"/>
      <c r="J3" s="299"/>
    </row>
    <row r="4" spans="1:10" ht="48.75" customHeight="1">
      <c r="A4" s="647"/>
      <c r="B4" s="891" t="s">
        <v>1349</v>
      </c>
      <c r="C4" s="891"/>
      <c r="D4" s="891"/>
      <c r="E4" s="891"/>
      <c r="F4" s="891"/>
      <c r="G4" s="891"/>
      <c r="H4" s="235"/>
      <c r="I4" s="235"/>
      <c r="J4" s="299"/>
    </row>
    <row r="5" spans="1:10" ht="13.5" customHeight="1">
      <c r="A5" s="647"/>
      <c r="B5" s="648"/>
      <c r="C5" s="648"/>
      <c r="D5" s="648"/>
      <c r="E5" s="648"/>
      <c r="F5" s="648"/>
      <c r="G5" s="648"/>
      <c r="H5" s="648"/>
      <c r="I5" s="648"/>
      <c r="J5" s="299"/>
    </row>
    <row r="6" spans="1:10" ht="15">
      <c r="A6" s="647"/>
      <c r="B6" s="841" t="s">
        <v>1350</v>
      </c>
      <c r="C6" s="841"/>
      <c r="D6" s="15"/>
      <c r="E6" s="15"/>
      <c r="F6" s="15"/>
      <c r="G6" s="738" t="s">
        <v>1003</v>
      </c>
      <c r="H6" s="13"/>
      <c r="I6" s="13"/>
      <c r="J6" s="299"/>
    </row>
    <row r="7" spans="1:10" ht="14.25">
      <c r="A7" s="647"/>
      <c r="B7" s="45"/>
      <c r="C7" s="45"/>
      <c r="D7" s="45"/>
      <c r="E7" s="45"/>
      <c r="F7" s="45"/>
      <c r="G7" s="45"/>
      <c r="H7" s="45"/>
      <c r="I7" s="45"/>
      <c r="J7" s="299"/>
    </row>
    <row r="8" spans="1:10" ht="30" customHeight="1">
      <c r="A8" s="782" t="s">
        <v>191</v>
      </c>
      <c r="B8" s="782" t="s">
        <v>23</v>
      </c>
      <c r="C8" s="782" t="s">
        <v>79</v>
      </c>
      <c r="D8" s="782" t="s">
        <v>24</v>
      </c>
      <c r="E8" s="782" t="s">
        <v>309</v>
      </c>
      <c r="F8" s="782" t="s">
        <v>1351</v>
      </c>
      <c r="G8" s="782"/>
      <c r="H8" s="782" t="s">
        <v>1352</v>
      </c>
      <c r="I8" s="782"/>
      <c r="J8" s="299"/>
    </row>
    <row r="9" spans="1:10" ht="15">
      <c r="A9" s="782"/>
      <c r="B9" s="782"/>
      <c r="C9" s="782"/>
      <c r="D9" s="782"/>
      <c r="E9" s="782"/>
      <c r="F9" s="14" t="s">
        <v>80</v>
      </c>
      <c r="G9" s="14" t="s">
        <v>1011</v>
      </c>
      <c r="H9" s="14" t="s">
        <v>80</v>
      </c>
      <c r="I9" s="14" t="s">
        <v>1011</v>
      </c>
      <c r="J9" s="293"/>
    </row>
    <row r="10" spans="1:11" ht="15">
      <c r="A10" s="14">
        <v>1</v>
      </c>
      <c r="B10" s="14">
        <v>2</v>
      </c>
      <c r="C10" s="14">
        <v>3</v>
      </c>
      <c r="D10" s="14">
        <v>4</v>
      </c>
      <c r="E10" s="47">
        <v>5</v>
      </c>
      <c r="F10" s="14">
        <v>6</v>
      </c>
      <c r="G10" s="14">
        <v>7</v>
      </c>
      <c r="H10" s="14">
        <v>8</v>
      </c>
      <c r="I10" s="14">
        <v>9</v>
      </c>
      <c r="J10" s="66"/>
      <c r="K10" s="67"/>
    </row>
    <row r="11" spans="1:9" ht="28.5">
      <c r="A11" s="120">
        <v>1</v>
      </c>
      <c r="B11" s="85" t="s">
        <v>1353</v>
      </c>
      <c r="C11" s="298">
        <v>7131300500</v>
      </c>
      <c r="D11" s="86" t="s">
        <v>26</v>
      </c>
      <c r="E11" s="86">
        <v>1</v>
      </c>
      <c r="F11" s="88">
        <f>VLOOKUP(C11,'SOR RATE'!A:D,4,0)</f>
        <v>975</v>
      </c>
      <c r="G11" s="88">
        <f aca="true" t="shared" si="0" ref="G11:G19">F11*E11</f>
        <v>975</v>
      </c>
      <c r="H11" s="88">
        <f>+F11</f>
        <v>975</v>
      </c>
      <c r="I11" s="88">
        <f>E11*H11</f>
        <v>975</v>
      </c>
    </row>
    <row r="12" spans="1:10" ht="28.5">
      <c r="A12" s="120">
        <v>2</v>
      </c>
      <c r="B12" s="85" t="s">
        <v>1354</v>
      </c>
      <c r="C12" s="141"/>
      <c r="D12" s="86" t="s">
        <v>307</v>
      </c>
      <c r="E12" s="86">
        <v>30</v>
      </c>
      <c r="F12" s="88">
        <v>36</v>
      </c>
      <c r="G12" s="88">
        <f t="shared" si="0"/>
        <v>1080</v>
      </c>
      <c r="H12" s="88"/>
      <c r="I12" s="88"/>
      <c r="J12" s="299"/>
    </row>
    <row r="13" spans="1:10" ht="28.5">
      <c r="A13" s="120">
        <v>3</v>
      </c>
      <c r="B13" s="85" t="s">
        <v>1355</v>
      </c>
      <c r="C13" s="86">
        <v>7130310039</v>
      </c>
      <c r="D13" s="86" t="s">
        <v>307</v>
      </c>
      <c r="E13" s="86">
        <v>30</v>
      </c>
      <c r="F13" s="88"/>
      <c r="G13" s="88"/>
      <c r="H13" s="88">
        <f>VLOOKUP(C13,'SOR RATE'!A:D,4,0)</f>
        <v>27</v>
      </c>
      <c r="I13" s="88">
        <f>E13*H13</f>
        <v>810</v>
      </c>
      <c r="J13" s="34"/>
    </row>
    <row r="14" spans="1:12" ht="14.25">
      <c r="A14" s="120">
        <v>4</v>
      </c>
      <c r="B14" s="85" t="s">
        <v>1356</v>
      </c>
      <c r="C14" s="86">
        <v>7130820101</v>
      </c>
      <c r="D14" s="86" t="s">
        <v>26</v>
      </c>
      <c r="E14" s="86">
        <v>2</v>
      </c>
      <c r="F14" s="88">
        <f>VLOOKUP(C14,'SOR RATE'!A:D,4,0)</f>
        <v>9</v>
      </c>
      <c r="G14" s="88">
        <f t="shared" si="0"/>
        <v>18</v>
      </c>
      <c r="H14" s="88">
        <f aca="true" t="shared" si="1" ref="H14:H19">+F14</f>
        <v>9</v>
      </c>
      <c r="I14" s="88">
        <f aca="true" t="shared" si="2" ref="I14:I19">E14*H14</f>
        <v>18</v>
      </c>
      <c r="K14" s="68"/>
      <c r="L14" s="242"/>
    </row>
    <row r="15" spans="1:12" ht="14.25">
      <c r="A15" s="120">
        <v>5</v>
      </c>
      <c r="B15" s="85" t="s">
        <v>1357</v>
      </c>
      <c r="C15" s="86">
        <v>7130820206</v>
      </c>
      <c r="D15" s="86" t="s">
        <v>26</v>
      </c>
      <c r="E15" s="86">
        <v>2</v>
      </c>
      <c r="F15" s="88">
        <f>VLOOKUP(C15,'SOR RATE'!A:D,4,0)</f>
        <v>30</v>
      </c>
      <c r="G15" s="88">
        <f t="shared" si="0"/>
        <v>60</v>
      </c>
      <c r="H15" s="88">
        <f t="shared" si="1"/>
        <v>30</v>
      </c>
      <c r="I15" s="88">
        <f t="shared" si="2"/>
        <v>60</v>
      </c>
      <c r="K15" s="68"/>
      <c r="L15" s="242"/>
    </row>
    <row r="16" spans="1:12" ht="31.5" customHeight="1">
      <c r="A16" s="120">
        <v>6</v>
      </c>
      <c r="B16" s="85" t="s">
        <v>1358</v>
      </c>
      <c r="C16" s="86">
        <v>7132406022</v>
      </c>
      <c r="D16" s="86" t="s">
        <v>26</v>
      </c>
      <c r="E16" s="86">
        <v>1</v>
      </c>
      <c r="F16" s="88">
        <f>VLOOKUP(C16,'SOR RATE'!A:D,4,0)</f>
        <v>131</v>
      </c>
      <c r="G16" s="88">
        <f t="shared" si="0"/>
        <v>131</v>
      </c>
      <c r="H16" s="88">
        <f t="shared" si="1"/>
        <v>131</v>
      </c>
      <c r="I16" s="88">
        <f t="shared" si="2"/>
        <v>131</v>
      </c>
      <c r="J16" s="299"/>
      <c r="K16" s="45"/>
      <c r="L16" s="45"/>
    </row>
    <row r="17" spans="1:10" ht="14.25">
      <c r="A17" s="120">
        <v>7</v>
      </c>
      <c r="B17" s="85" t="s">
        <v>1359</v>
      </c>
      <c r="C17" s="86">
        <v>7132476007</v>
      </c>
      <c r="D17" s="86" t="s">
        <v>1360</v>
      </c>
      <c r="E17" s="86">
        <v>1</v>
      </c>
      <c r="F17" s="88">
        <f>VLOOKUP(C17,'SOR RATE'!A:D,4,0)</f>
        <v>15</v>
      </c>
      <c r="G17" s="88">
        <f t="shared" si="0"/>
        <v>15</v>
      </c>
      <c r="H17" s="88">
        <f t="shared" si="1"/>
        <v>15</v>
      </c>
      <c r="I17" s="88">
        <f t="shared" si="2"/>
        <v>15</v>
      </c>
      <c r="J17" s="299"/>
    </row>
    <row r="18" spans="1:10" ht="14.25">
      <c r="A18" s="120">
        <v>8</v>
      </c>
      <c r="B18" s="85" t="s">
        <v>1361</v>
      </c>
      <c r="C18" s="86"/>
      <c r="D18" s="86" t="s">
        <v>1362</v>
      </c>
      <c r="E18" s="86">
        <v>1</v>
      </c>
      <c r="F18" s="88">
        <v>35</v>
      </c>
      <c r="G18" s="88">
        <f t="shared" si="0"/>
        <v>35</v>
      </c>
      <c r="H18" s="88">
        <f t="shared" si="1"/>
        <v>35</v>
      </c>
      <c r="I18" s="88">
        <f t="shared" si="2"/>
        <v>35</v>
      </c>
      <c r="J18" s="299"/>
    </row>
    <row r="19" spans="1:10" ht="14.25">
      <c r="A19" s="120">
        <v>9</v>
      </c>
      <c r="B19" s="85" t="s">
        <v>1363</v>
      </c>
      <c r="C19" s="86"/>
      <c r="D19" s="86" t="s">
        <v>1362</v>
      </c>
      <c r="E19" s="86">
        <v>1</v>
      </c>
      <c r="F19" s="88">
        <v>30</v>
      </c>
      <c r="G19" s="88">
        <f t="shared" si="0"/>
        <v>30</v>
      </c>
      <c r="H19" s="88">
        <f t="shared" si="1"/>
        <v>30</v>
      </c>
      <c r="I19" s="88">
        <f t="shared" si="2"/>
        <v>30</v>
      </c>
      <c r="J19" s="299"/>
    </row>
    <row r="20" spans="1:11" ht="16.5" customHeight="1">
      <c r="A20" s="124">
        <v>10</v>
      </c>
      <c r="B20" s="97" t="s">
        <v>937</v>
      </c>
      <c r="C20" s="239"/>
      <c r="D20" s="239"/>
      <c r="E20" s="239"/>
      <c r="F20" s="240"/>
      <c r="G20" s="129">
        <f>SUM(G11:G19)</f>
        <v>2344</v>
      </c>
      <c r="H20" s="129"/>
      <c r="I20" s="129">
        <f>I11+I13+I14+I15+I16+I17+I18+I19</f>
        <v>2074</v>
      </c>
      <c r="J20" s="60"/>
      <c r="K20" s="59"/>
    </row>
    <row r="21" spans="1:11" ht="17.25" customHeight="1">
      <c r="A21" s="128">
        <v>11</v>
      </c>
      <c r="B21" s="90" t="s">
        <v>936</v>
      </c>
      <c r="C21" s="649"/>
      <c r="D21" s="649"/>
      <c r="E21" s="649"/>
      <c r="F21" s="92" t="s">
        <v>1364</v>
      </c>
      <c r="G21" s="88">
        <f>G20*F21</f>
        <v>210.95999999999998</v>
      </c>
      <c r="H21" s="88">
        <v>0.09</v>
      </c>
      <c r="I21" s="88">
        <f>I20*H21</f>
        <v>186.66</v>
      </c>
      <c r="J21" s="63"/>
      <c r="K21" s="60"/>
    </row>
    <row r="22" spans="1:10" ht="14.25">
      <c r="A22" s="120">
        <v>12</v>
      </c>
      <c r="B22" s="892" t="s">
        <v>775</v>
      </c>
      <c r="C22" s="893"/>
      <c r="D22" s="892" t="s">
        <v>1365</v>
      </c>
      <c r="E22" s="894"/>
      <c r="F22" s="893"/>
      <c r="G22" s="88">
        <f>125*1.0891*1.086275*1.1112*1.0685</f>
        <v>175.58374787080163</v>
      </c>
      <c r="H22" s="88"/>
      <c r="I22" s="88">
        <f>+G22</f>
        <v>175.58374787080163</v>
      </c>
      <c r="J22" s="299"/>
    </row>
    <row r="23" spans="1:10" ht="15.75">
      <c r="A23" s="124">
        <v>13</v>
      </c>
      <c r="B23" s="890" t="s">
        <v>1366</v>
      </c>
      <c r="C23" s="890"/>
      <c r="D23" s="890"/>
      <c r="E23" s="890"/>
      <c r="F23" s="890"/>
      <c r="G23" s="129">
        <f>G20+G21+G22</f>
        <v>2730.543747870802</v>
      </c>
      <c r="H23" s="129"/>
      <c r="I23" s="129">
        <f>I20+I21+I22</f>
        <v>2436.2437478708016</v>
      </c>
      <c r="J23" s="299"/>
    </row>
    <row r="24" spans="1:10" ht="15.75">
      <c r="A24" s="124">
        <v>14</v>
      </c>
      <c r="B24" s="890" t="s">
        <v>1367</v>
      </c>
      <c r="C24" s="890"/>
      <c r="D24" s="890"/>
      <c r="E24" s="890"/>
      <c r="F24" s="890"/>
      <c r="G24" s="129">
        <f>ROUND(G23,0)</f>
        <v>2731</v>
      </c>
      <c r="H24" s="129"/>
      <c r="I24" s="129">
        <f>ROUND(I23,0)</f>
        <v>2436</v>
      </c>
      <c r="J24" s="299"/>
    </row>
    <row r="25" spans="1:10" ht="15.75">
      <c r="A25" s="605"/>
      <c r="B25" s="650"/>
      <c r="C25" s="650"/>
      <c r="D25" s="650"/>
      <c r="E25" s="650"/>
      <c r="F25" s="650"/>
      <c r="G25" s="338"/>
      <c r="H25" s="338"/>
      <c r="I25" s="338"/>
      <c r="J25" s="299"/>
    </row>
    <row r="26" spans="1:10" ht="15.75">
      <c r="A26" s="605"/>
      <c r="B26" s="650"/>
      <c r="C26" s="650"/>
      <c r="D26" s="650"/>
      <c r="E26" s="650"/>
      <c r="F26" s="650"/>
      <c r="G26" s="338"/>
      <c r="H26" s="338"/>
      <c r="I26" s="338"/>
      <c r="J26" s="299"/>
    </row>
  </sheetData>
  <sheetProtection/>
  <mergeCells count="14">
    <mergeCell ref="H8:I8"/>
    <mergeCell ref="B22:C22"/>
    <mergeCell ref="D22:F22"/>
    <mergeCell ref="B23:F23"/>
    <mergeCell ref="A8:A9"/>
    <mergeCell ref="B8:B9"/>
    <mergeCell ref="C8:C9"/>
    <mergeCell ref="D8:D9"/>
    <mergeCell ref="B24:F24"/>
    <mergeCell ref="B2:D2"/>
    <mergeCell ref="B4:G4"/>
    <mergeCell ref="B6:C6"/>
    <mergeCell ref="E8:E9"/>
    <mergeCell ref="F8:G8"/>
  </mergeCells>
  <printOptions/>
  <pageMargins left="0.98" right="0.37" top="0.49" bottom="0.9" header="0.49" footer="0.5"/>
  <pageSetup horizontalDpi="600" verticalDpi="600" orientation="landscape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M2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7109375" style="23" customWidth="1"/>
    <col min="2" max="2" width="57.00390625" style="2" customWidth="1"/>
    <col min="3" max="3" width="12.7109375" style="2" customWidth="1"/>
    <col min="4" max="4" width="5.140625" style="2" bestFit="1" customWidth="1"/>
    <col min="5" max="5" width="4.421875" style="2" bestFit="1" customWidth="1"/>
    <col min="6" max="6" width="8.421875" style="2" bestFit="1" customWidth="1"/>
    <col min="7" max="7" width="10.7109375" style="2" bestFit="1" customWidth="1"/>
    <col min="8" max="8" width="8.421875" style="2" bestFit="1" customWidth="1"/>
    <col min="9" max="9" width="10.7109375" style="2" bestFit="1" customWidth="1"/>
    <col min="10" max="10" width="11.28125" style="2" customWidth="1"/>
    <col min="11" max="16384" width="9.140625" style="2" customWidth="1"/>
  </cols>
  <sheetData>
    <row r="1" spans="1:10" ht="18">
      <c r="A1" s="651"/>
      <c r="B1" s="862" t="s">
        <v>1368</v>
      </c>
      <c r="C1" s="862"/>
      <c r="D1" s="862"/>
      <c r="E1" s="15"/>
      <c r="F1" s="45"/>
      <c r="G1" s="45"/>
      <c r="H1" s="45"/>
      <c r="I1" s="45"/>
      <c r="J1" s="299"/>
    </row>
    <row r="2" spans="1:10" ht="10.5" customHeight="1">
      <c r="A2" s="651"/>
      <c r="B2" s="201"/>
      <c r="C2" s="201"/>
      <c r="D2" s="201"/>
      <c r="E2" s="15"/>
      <c r="F2" s="45"/>
      <c r="G2" s="45"/>
      <c r="H2" s="45"/>
      <c r="I2" s="45"/>
      <c r="J2" s="299"/>
    </row>
    <row r="3" spans="1:10" ht="48" customHeight="1">
      <c r="A3" s="651"/>
      <c r="B3" s="891" t="s">
        <v>1349</v>
      </c>
      <c r="C3" s="891"/>
      <c r="D3" s="891"/>
      <c r="E3" s="891"/>
      <c r="F3" s="891"/>
      <c r="G3" s="891"/>
      <c r="H3" s="235"/>
      <c r="I3" s="235"/>
      <c r="J3" s="299"/>
    </row>
    <row r="4" spans="1:10" ht="15">
      <c r="A4" s="647"/>
      <c r="B4" s="648"/>
      <c r="C4" s="648"/>
      <c r="D4" s="648"/>
      <c r="E4" s="648"/>
      <c r="F4" s="648"/>
      <c r="G4" s="648"/>
      <c r="H4" s="648"/>
      <c r="I4" s="648"/>
      <c r="J4" s="45"/>
    </row>
    <row r="5" spans="1:10" ht="15">
      <c r="A5" s="647"/>
      <c r="B5" s="841" t="s">
        <v>1369</v>
      </c>
      <c r="C5" s="841"/>
      <c r="D5" s="15"/>
      <c r="E5" s="15"/>
      <c r="F5" s="15"/>
      <c r="G5" s="738" t="s">
        <v>1003</v>
      </c>
      <c r="H5" s="13"/>
      <c r="I5" s="13"/>
      <c r="J5" s="45"/>
    </row>
    <row r="6" spans="1:10" ht="11.25" customHeight="1">
      <c r="A6" s="647"/>
      <c r="B6" s="13"/>
      <c r="C6" s="13"/>
      <c r="D6" s="15"/>
      <c r="E6" s="15"/>
      <c r="F6" s="15"/>
      <c r="G6" s="13"/>
      <c r="H6" s="13"/>
      <c r="I6" s="13"/>
      <c r="J6" s="45"/>
    </row>
    <row r="7" spans="1:10" ht="30.75" customHeight="1">
      <c r="A7" s="782" t="s">
        <v>191</v>
      </c>
      <c r="B7" s="782" t="s">
        <v>23</v>
      </c>
      <c r="C7" s="782" t="s">
        <v>79</v>
      </c>
      <c r="D7" s="782" t="s">
        <v>24</v>
      </c>
      <c r="E7" s="782" t="s">
        <v>309</v>
      </c>
      <c r="F7" s="782" t="s">
        <v>1351</v>
      </c>
      <c r="G7" s="782"/>
      <c r="H7" s="782" t="s">
        <v>1352</v>
      </c>
      <c r="I7" s="782"/>
      <c r="J7" s="299"/>
    </row>
    <row r="8" spans="1:10" ht="15">
      <c r="A8" s="782"/>
      <c r="B8" s="782"/>
      <c r="C8" s="782"/>
      <c r="D8" s="782"/>
      <c r="E8" s="782"/>
      <c r="F8" s="14" t="s">
        <v>80</v>
      </c>
      <c r="G8" s="14" t="s">
        <v>1011</v>
      </c>
      <c r="H8" s="14" t="s">
        <v>80</v>
      </c>
      <c r="I8" s="14" t="s">
        <v>1011</v>
      </c>
      <c r="J8" s="299"/>
    </row>
    <row r="9" spans="1:11" ht="15">
      <c r="A9" s="14">
        <v>1</v>
      </c>
      <c r="B9" s="221">
        <v>2</v>
      </c>
      <c r="C9" s="14">
        <v>3</v>
      </c>
      <c r="D9" s="14">
        <v>4</v>
      </c>
      <c r="E9" s="14">
        <v>5</v>
      </c>
      <c r="F9" s="73">
        <v>6</v>
      </c>
      <c r="G9" s="73">
        <v>7</v>
      </c>
      <c r="H9" s="14">
        <v>8</v>
      </c>
      <c r="I9" s="14">
        <v>9</v>
      </c>
      <c r="J9" s="66"/>
      <c r="K9" s="67"/>
    </row>
    <row r="10" spans="1:10" ht="28.5">
      <c r="A10" s="120">
        <v>1</v>
      </c>
      <c r="B10" s="652" t="s">
        <v>1370</v>
      </c>
      <c r="C10" s="86">
        <v>7131300046</v>
      </c>
      <c r="D10" s="86" t="s">
        <v>1013</v>
      </c>
      <c r="E10" s="86">
        <v>1</v>
      </c>
      <c r="F10" s="142">
        <f>VLOOKUP(C10,'SOR RATE'!A:D,4,0)</f>
        <v>2326</v>
      </c>
      <c r="G10" s="142">
        <f>E10*F10</f>
        <v>2326</v>
      </c>
      <c r="H10" s="88">
        <f>+F10</f>
        <v>2326</v>
      </c>
      <c r="I10" s="88">
        <f>E10*H10</f>
        <v>2326</v>
      </c>
      <c r="J10" s="63"/>
    </row>
    <row r="11" spans="1:10" ht="17.25" customHeight="1">
      <c r="A11" s="653">
        <v>2</v>
      </c>
      <c r="B11" s="95" t="s">
        <v>1371</v>
      </c>
      <c r="D11" s="86" t="s">
        <v>307</v>
      </c>
      <c r="E11" s="86">
        <v>30</v>
      </c>
      <c r="F11" s="88">
        <v>62</v>
      </c>
      <c r="G11" s="88">
        <f aca="true" t="shared" si="0" ref="G11:G18">F11*E11</f>
        <v>1860</v>
      </c>
      <c r="H11" s="88"/>
      <c r="I11" s="88"/>
      <c r="J11" s="299"/>
    </row>
    <row r="12" spans="1:10" ht="18" customHeight="1">
      <c r="A12" s="653">
        <v>3</v>
      </c>
      <c r="B12" s="95" t="s">
        <v>1372</v>
      </c>
      <c r="C12" s="87">
        <v>7130310040</v>
      </c>
      <c r="D12" s="86" t="s">
        <v>307</v>
      </c>
      <c r="E12" s="86">
        <v>30</v>
      </c>
      <c r="F12" s="88"/>
      <c r="G12" s="88"/>
      <c r="H12" s="88">
        <f>VLOOKUP(C12,'SOR RATE'!A:D,4,0)</f>
        <v>55</v>
      </c>
      <c r="I12" s="88">
        <f aca="true" t="shared" si="1" ref="I12:I18">E12*H12</f>
        <v>1650</v>
      </c>
      <c r="J12" s="299"/>
    </row>
    <row r="13" spans="1:9" ht="14.25">
      <c r="A13" s="120">
        <v>4</v>
      </c>
      <c r="B13" s="85" t="s">
        <v>1356</v>
      </c>
      <c r="C13" s="86">
        <v>7130820101</v>
      </c>
      <c r="D13" s="86" t="s">
        <v>1013</v>
      </c>
      <c r="E13" s="86">
        <v>2</v>
      </c>
      <c r="F13" s="142">
        <f>VLOOKUP(C13,'SOR RATE'!A:D,4,0)</f>
        <v>9</v>
      </c>
      <c r="G13" s="88">
        <f t="shared" si="0"/>
        <v>18</v>
      </c>
      <c r="H13" s="88">
        <f aca="true" t="shared" si="2" ref="H13:H18">+F13</f>
        <v>9</v>
      </c>
      <c r="I13" s="88">
        <f t="shared" si="1"/>
        <v>18</v>
      </c>
    </row>
    <row r="14" spans="1:9" ht="14.25">
      <c r="A14" s="120">
        <v>5</v>
      </c>
      <c r="B14" s="85" t="s">
        <v>1357</v>
      </c>
      <c r="C14" s="86">
        <v>7130820206</v>
      </c>
      <c r="D14" s="86" t="s">
        <v>1013</v>
      </c>
      <c r="E14" s="86">
        <v>2</v>
      </c>
      <c r="F14" s="142">
        <f>VLOOKUP(C14,'SOR RATE'!A:D,4,0)</f>
        <v>30</v>
      </c>
      <c r="G14" s="88">
        <f t="shared" si="0"/>
        <v>60</v>
      </c>
      <c r="H14" s="88">
        <f t="shared" si="2"/>
        <v>30</v>
      </c>
      <c r="I14" s="88">
        <f t="shared" si="1"/>
        <v>60</v>
      </c>
    </row>
    <row r="15" spans="1:13" ht="45.75" customHeight="1">
      <c r="A15" s="120">
        <v>6</v>
      </c>
      <c r="B15" s="95" t="s">
        <v>1373</v>
      </c>
      <c r="C15" s="86">
        <v>7132455002</v>
      </c>
      <c r="D15" s="86" t="s">
        <v>817</v>
      </c>
      <c r="E15" s="86">
        <v>1</v>
      </c>
      <c r="F15" s="142">
        <f>VLOOKUP(C15,'SOR RATE'!A:D,4,0)</f>
        <v>274</v>
      </c>
      <c r="G15" s="88">
        <f t="shared" si="0"/>
        <v>274</v>
      </c>
      <c r="H15" s="88">
        <f t="shared" si="2"/>
        <v>274</v>
      </c>
      <c r="I15" s="88">
        <f t="shared" si="1"/>
        <v>274</v>
      </c>
      <c r="J15" s="299"/>
      <c r="K15" s="45"/>
      <c r="L15" s="45"/>
      <c r="M15" s="45"/>
    </row>
    <row r="16" spans="1:11" ht="15" customHeight="1">
      <c r="A16" s="120">
        <v>7</v>
      </c>
      <c r="B16" s="95" t="s">
        <v>1359</v>
      </c>
      <c r="C16" s="86">
        <v>7132476007</v>
      </c>
      <c r="D16" s="86" t="s">
        <v>1360</v>
      </c>
      <c r="E16" s="86">
        <v>1</v>
      </c>
      <c r="F16" s="142">
        <f>VLOOKUP(C16,'SOR RATE'!A:D,4,0)</f>
        <v>15</v>
      </c>
      <c r="G16" s="88">
        <f t="shared" si="0"/>
        <v>15</v>
      </c>
      <c r="H16" s="88">
        <f t="shared" si="2"/>
        <v>15</v>
      </c>
      <c r="I16" s="88">
        <f t="shared" si="1"/>
        <v>15</v>
      </c>
      <c r="J16" s="299"/>
      <c r="K16" s="2" t="s">
        <v>1190</v>
      </c>
    </row>
    <row r="17" spans="1:10" ht="16.5" customHeight="1">
      <c r="A17" s="120">
        <v>8</v>
      </c>
      <c r="B17" s="95" t="s">
        <v>1433</v>
      </c>
      <c r="C17" s="86"/>
      <c r="D17" s="86" t="s">
        <v>1362</v>
      </c>
      <c r="E17" s="86">
        <v>1</v>
      </c>
      <c r="F17" s="88">
        <f>+'[2]E-2 page 158'!F18</f>
        <v>35</v>
      </c>
      <c r="G17" s="88">
        <f t="shared" si="0"/>
        <v>35</v>
      </c>
      <c r="H17" s="88">
        <f t="shared" si="2"/>
        <v>35</v>
      </c>
      <c r="I17" s="88">
        <f t="shared" si="1"/>
        <v>35</v>
      </c>
      <c r="J17" s="299"/>
    </row>
    <row r="18" spans="1:10" ht="15.75" customHeight="1">
      <c r="A18" s="120">
        <v>9</v>
      </c>
      <c r="B18" s="95" t="s">
        <v>1363</v>
      </c>
      <c r="C18" s="653"/>
      <c r="D18" s="86" t="s">
        <v>1362</v>
      </c>
      <c r="E18" s="86">
        <v>1</v>
      </c>
      <c r="F18" s="88">
        <f>+'[2]E-2 page 158'!F19</f>
        <v>30</v>
      </c>
      <c r="G18" s="88">
        <f t="shared" si="0"/>
        <v>30</v>
      </c>
      <c r="H18" s="88">
        <f t="shared" si="2"/>
        <v>30</v>
      </c>
      <c r="I18" s="88">
        <f t="shared" si="1"/>
        <v>30</v>
      </c>
      <c r="J18" s="299"/>
    </row>
    <row r="19" spans="1:11" ht="18.75" customHeight="1">
      <c r="A19" s="14">
        <v>10</v>
      </c>
      <c r="B19" s="97" t="s">
        <v>937</v>
      </c>
      <c r="C19" s="239"/>
      <c r="D19" s="239"/>
      <c r="E19" s="239"/>
      <c r="F19" s="240"/>
      <c r="G19" s="748">
        <f>SUM(G10:G18)</f>
        <v>4618</v>
      </c>
      <c r="H19" s="129"/>
      <c r="I19" s="129">
        <f>I10+I12+I13+I14+I15+I16+I17+I18</f>
        <v>4408</v>
      </c>
      <c r="J19" s="60"/>
      <c r="K19" s="59"/>
    </row>
    <row r="20" spans="1:11" ht="15">
      <c r="A20" s="128">
        <v>11</v>
      </c>
      <c r="B20" s="90" t="s">
        <v>936</v>
      </c>
      <c r="C20" s="649"/>
      <c r="D20" s="649"/>
      <c r="E20" s="649"/>
      <c r="F20" s="654" t="s">
        <v>1364</v>
      </c>
      <c r="G20" s="88">
        <f>G19*F20</f>
        <v>415.62</v>
      </c>
      <c r="H20" s="88">
        <v>0.09</v>
      </c>
      <c r="I20" s="88">
        <f>I19*H20</f>
        <v>396.71999999999997</v>
      </c>
      <c r="J20" s="63"/>
      <c r="K20" s="60"/>
    </row>
    <row r="21" spans="1:10" ht="14.25">
      <c r="A21" s="120">
        <v>12</v>
      </c>
      <c r="B21" s="892" t="s">
        <v>775</v>
      </c>
      <c r="C21" s="893"/>
      <c r="D21" s="892" t="s">
        <v>1365</v>
      </c>
      <c r="E21" s="894"/>
      <c r="F21" s="893"/>
      <c r="G21" s="88">
        <f>200*1.0891*1.086275*1.1112*1.0685</f>
        <v>280.9339965932826</v>
      </c>
      <c r="H21" s="88"/>
      <c r="I21" s="88">
        <f>+G21</f>
        <v>280.9339965932826</v>
      </c>
      <c r="J21" s="299"/>
    </row>
    <row r="22" spans="1:10" ht="15.75">
      <c r="A22" s="124">
        <v>13</v>
      </c>
      <c r="B22" s="895" t="s">
        <v>1434</v>
      </c>
      <c r="C22" s="896"/>
      <c r="D22" s="896"/>
      <c r="E22" s="896"/>
      <c r="F22" s="897"/>
      <c r="G22" s="129">
        <f>G19+G20+G21</f>
        <v>5314.553996593282</v>
      </c>
      <c r="H22" s="129"/>
      <c r="I22" s="129">
        <f>I19+I20+I21</f>
        <v>5085.6539965932825</v>
      </c>
      <c r="J22" s="299"/>
    </row>
    <row r="23" spans="1:10" ht="15.75">
      <c r="A23" s="124">
        <v>14</v>
      </c>
      <c r="B23" s="895" t="s">
        <v>898</v>
      </c>
      <c r="C23" s="896"/>
      <c r="D23" s="896"/>
      <c r="E23" s="896"/>
      <c r="F23" s="897"/>
      <c r="G23" s="655">
        <f>ROUND(G22,0)</f>
        <v>5315</v>
      </c>
      <c r="H23" s="655"/>
      <c r="I23" s="655">
        <f>ROUND(I22,0)</f>
        <v>5086</v>
      </c>
      <c r="J23" s="299"/>
    </row>
    <row r="24" spans="1:10" ht="15">
      <c r="A24" s="651"/>
      <c r="B24" s="74" t="s">
        <v>899</v>
      </c>
      <c r="C24" s="74"/>
      <c r="D24" s="144"/>
      <c r="E24" s="126">
        <v>100</v>
      </c>
      <c r="F24" s="656"/>
      <c r="G24" s="656"/>
      <c r="H24" s="656"/>
      <c r="I24" s="656"/>
      <c r="J24" s="299"/>
    </row>
    <row r="25" spans="1:10" ht="15.75">
      <c r="A25" s="651"/>
      <c r="B25" s="76" t="s">
        <v>1189</v>
      </c>
      <c r="C25" s="76"/>
      <c r="D25" s="141"/>
      <c r="E25" s="656"/>
      <c r="F25" s="656"/>
      <c r="G25" s="129">
        <f>E24*G22</f>
        <v>531455.3996593282</v>
      </c>
      <c r="H25" s="129"/>
      <c r="I25" s="129">
        <f>E24*I22</f>
        <v>508565.3996593283</v>
      </c>
      <c r="J25" s="299"/>
    </row>
    <row r="26" spans="1:10" ht="15.75">
      <c r="A26" s="651"/>
      <c r="B26" s="76" t="s">
        <v>1188</v>
      </c>
      <c r="C26" s="76"/>
      <c r="D26" s="141"/>
      <c r="E26" s="656"/>
      <c r="F26" s="656"/>
      <c r="G26" s="129">
        <f>ROUND(G25,0)</f>
        <v>531455</v>
      </c>
      <c r="H26" s="129"/>
      <c r="I26" s="129">
        <f>ROUND(I25,0)</f>
        <v>508565</v>
      </c>
      <c r="J26" s="299"/>
    </row>
    <row r="27" spans="1:10" ht="15.75">
      <c r="A27" s="651"/>
      <c r="B27" s="71"/>
      <c r="C27" s="71"/>
      <c r="D27" s="338"/>
      <c r="E27" s="657"/>
      <c r="F27" s="657"/>
      <c r="G27" s="657"/>
      <c r="H27" s="657"/>
      <c r="I27" s="657"/>
      <c r="J27" s="299"/>
    </row>
  </sheetData>
  <sheetProtection/>
  <mergeCells count="14">
    <mergeCell ref="H7:I7"/>
    <mergeCell ref="B21:C21"/>
    <mergeCell ref="D21:F21"/>
    <mergeCell ref="B22:F22"/>
    <mergeCell ref="A7:A8"/>
    <mergeCell ref="B7:B8"/>
    <mergeCell ref="C7:C8"/>
    <mergeCell ref="D7:D8"/>
    <mergeCell ref="B23:F23"/>
    <mergeCell ref="B1:D1"/>
    <mergeCell ref="B3:G3"/>
    <mergeCell ref="B5:C5"/>
    <mergeCell ref="E7:E8"/>
    <mergeCell ref="F7:G7"/>
  </mergeCells>
  <conditionalFormatting sqref="D24 D27 G25:I26">
    <cfRule type="cellIs" priority="1" dxfId="0" operator="equal" stopIfTrue="1">
      <formula>"?"</formula>
    </cfRule>
  </conditionalFormatting>
  <printOptions/>
  <pageMargins left="0.87" right="0.17" top="0.85" bottom="0.38" header="0.66" footer="0.22"/>
  <pageSetup horizontalDpi="600" verticalDpi="600" orientation="landscape" scale="10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2:I1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7109375" style="23" customWidth="1"/>
    <col min="2" max="2" width="46.28125" style="2" customWidth="1"/>
    <col min="3" max="3" width="14.57421875" style="2" bestFit="1" customWidth="1"/>
    <col min="4" max="4" width="10.140625" style="2" customWidth="1"/>
    <col min="5" max="5" width="8.140625" style="2" customWidth="1"/>
    <col min="6" max="6" width="9.57421875" style="2" bestFit="1" customWidth="1"/>
    <col min="7" max="7" width="13.7109375" style="2" customWidth="1"/>
    <col min="8" max="8" width="10.57421875" style="2" customWidth="1"/>
    <col min="9" max="16384" width="9.140625" style="2" customWidth="1"/>
  </cols>
  <sheetData>
    <row r="2" spans="1:8" ht="18">
      <c r="A2" s="651"/>
      <c r="B2" s="862" t="s">
        <v>900</v>
      </c>
      <c r="C2" s="862"/>
      <c r="D2" s="862"/>
      <c r="E2" s="657"/>
      <c r="F2" s="657"/>
      <c r="G2" s="657"/>
      <c r="H2" s="299"/>
    </row>
    <row r="3" spans="1:8" ht="8.25" customHeight="1">
      <c r="A3" s="651"/>
      <c r="B3" s="657"/>
      <c r="C3" s="657"/>
      <c r="D3" s="898"/>
      <c r="E3" s="898"/>
      <c r="F3" s="657"/>
      <c r="G3" s="657"/>
      <c r="H3" s="299"/>
    </row>
    <row r="4" spans="1:8" ht="50.25" customHeight="1">
      <c r="A4" s="651"/>
      <c r="B4" s="891" t="s">
        <v>1349</v>
      </c>
      <c r="C4" s="891"/>
      <c r="D4" s="891"/>
      <c r="E4" s="891"/>
      <c r="F4" s="891"/>
      <c r="G4" s="891"/>
      <c r="H4" s="299"/>
    </row>
    <row r="5" spans="1:8" ht="15">
      <c r="A5" s="651"/>
      <c r="B5" s="648"/>
      <c r="C5" s="648"/>
      <c r="D5" s="648"/>
      <c r="E5" s="648"/>
      <c r="F5" s="648"/>
      <c r="G5" s="648"/>
      <c r="H5" s="299"/>
    </row>
    <row r="6" spans="1:8" ht="15">
      <c r="A6" s="651"/>
      <c r="B6" s="841" t="s">
        <v>901</v>
      </c>
      <c r="C6" s="841"/>
      <c r="D6" s="841"/>
      <c r="E6" s="15"/>
      <c r="F6" s="15"/>
      <c r="G6" s="738" t="s">
        <v>1003</v>
      </c>
      <c r="H6" s="299"/>
    </row>
    <row r="7" spans="1:8" ht="14.25">
      <c r="A7" s="651"/>
      <c r="B7" s="299"/>
      <c r="C7" s="299"/>
      <c r="D7" s="299"/>
      <c r="E7" s="299"/>
      <c r="F7" s="299"/>
      <c r="G7" s="299"/>
      <c r="H7" s="299"/>
    </row>
    <row r="8" spans="1:8" ht="30">
      <c r="A8" s="14" t="s">
        <v>191</v>
      </c>
      <c r="B8" s="14" t="s">
        <v>23</v>
      </c>
      <c r="C8" s="14" t="s">
        <v>79</v>
      </c>
      <c r="D8" s="14" t="s">
        <v>24</v>
      </c>
      <c r="E8" s="14" t="s">
        <v>309</v>
      </c>
      <c r="F8" s="14" t="s">
        <v>80</v>
      </c>
      <c r="G8" s="14" t="s">
        <v>1011</v>
      </c>
      <c r="H8" s="299"/>
    </row>
    <row r="9" spans="1:8" ht="32.25" customHeight="1">
      <c r="A9" s="120">
        <v>1</v>
      </c>
      <c r="B9" s="658" t="s">
        <v>902</v>
      </c>
      <c r="C9" s="659">
        <v>7131310997</v>
      </c>
      <c r="D9" s="86" t="s">
        <v>1013</v>
      </c>
      <c r="E9" s="86">
        <v>1</v>
      </c>
      <c r="F9" s="88">
        <f>VLOOKUP(C9,'SOR RATE'!A:D,4,0)</f>
        <v>2487</v>
      </c>
      <c r="G9" s="88">
        <f>F9*E9</f>
        <v>2487</v>
      </c>
      <c r="H9" s="63"/>
    </row>
    <row r="10" spans="1:9" ht="17.25" customHeight="1">
      <c r="A10" s="120">
        <v>2</v>
      </c>
      <c r="B10" s="85" t="s">
        <v>1359</v>
      </c>
      <c r="C10" s="84">
        <v>7132476007</v>
      </c>
      <c r="D10" s="86" t="s">
        <v>1360</v>
      </c>
      <c r="E10" s="86">
        <v>1</v>
      </c>
      <c r="F10" s="88">
        <f>VLOOKUP(C10,'SOR RATE'!A:D,4,0)</f>
        <v>15</v>
      </c>
      <c r="G10" s="88">
        <f>F10*E10</f>
        <v>15</v>
      </c>
      <c r="H10" s="299"/>
      <c r="I10" s="2" t="s">
        <v>1190</v>
      </c>
    </row>
    <row r="11" spans="1:8" ht="17.25" customHeight="1">
      <c r="A11" s="120">
        <v>3</v>
      </c>
      <c r="B11" s="85" t="s">
        <v>1433</v>
      </c>
      <c r="C11" s="86"/>
      <c r="D11" s="86" t="s">
        <v>1362</v>
      </c>
      <c r="E11" s="86">
        <v>1</v>
      </c>
      <c r="F11" s="88">
        <v>40</v>
      </c>
      <c r="G11" s="88">
        <f>F11*E11</f>
        <v>40</v>
      </c>
      <c r="H11" s="299"/>
    </row>
    <row r="12" spans="1:8" ht="17.25" customHeight="1">
      <c r="A12" s="120">
        <v>4</v>
      </c>
      <c r="B12" s="85" t="s">
        <v>1363</v>
      </c>
      <c r="C12" s="86"/>
      <c r="D12" s="86" t="s">
        <v>1362</v>
      </c>
      <c r="E12" s="86">
        <v>1</v>
      </c>
      <c r="F12" s="88">
        <f>+'[2]E-2 page 158'!F19</f>
        <v>30</v>
      </c>
      <c r="G12" s="88">
        <f>F12*E12</f>
        <v>30</v>
      </c>
      <c r="H12" s="299"/>
    </row>
    <row r="13" spans="1:9" ht="15">
      <c r="A13" s="14">
        <v>5</v>
      </c>
      <c r="B13" s="97" t="s">
        <v>937</v>
      </c>
      <c r="C13" s="239"/>
      <c r="D13" s="239"/>
      <c r="E13" s="239"/>
      <c r="F13" s="240"/>
      <c r="G13" s="748">
        <f>SUM(G9:G12)</f>
        <v>2572</v>
      </c>
      <c r="H13" s="63"/>
      <c r="I13" s="59"/>
    </row>
    <row r="14" spans="1:9" ht="18" customHeight="1">
      <c r="A14" s="128">
        <v>6</v>
      </c>
      <c r="B14" s="90" t="s">
        <v>936</v>
      </c>
      <c r="C14" s="649"/>
      <c r="D14" s="649"/>
      <c r="E14" s="649"/>
      <c r="F14" s="92" t="s">
        <v>1364</v>
      </c>
      <c r="G14" s="749">
        <f>G13*F14</f>
        <v>231.48</v>
      </c>
      <c r="H14" s="63"/>
      <c r="I14" s="60"/>
    </row>
    <row r="15" spans="1:8" ht="16.5" customHeight="1">
      <c r="A15" s="120">
        <v>7</v>
      </c>
      <c r="B15" s="892" t="s">
        <v>775</v>
      </c>
      <c r="C15" s="893"/>
      <c r="D15" s="892" t="s">
        <v>1365</v>
      </c>
      <c r="E15" s="894"/>
      <c r="F15" s="893"/>
      <c r="G15" s="88">
        <f>200*1.0891*1.086275*1.1112*1.0685</f>
        <v>280.9339965932826</v>
      </c>
      <c r="H15" s="299"/>
    </row>
    <row r="16" spans="1:8" ht="19.5" customHeight="1">
      <c r="A16" s="124">
        <v>8</v>
      </c>
      <c r="B16" s="890" t="s">
        <v>903</v>
      </c>
      <c r="C16" s="890"/>
      <c r="D16" s="890"/>
      <c r="E16" s="890"/>
      <c r="F16" s="890"/>
      <c r="G16" s="129">
        <f>G13+G14+G15</f>
        <v>3084.4139965932827</v>
      </c>
      <c r="H16" s="299"/>
    </row>
    <row r="17" spans="1:8" ht="34.5" customHeight="1">
      <c r="A17" s="14">
        <v>9</v>
      </c>
      <c r="B17" s="890" t="s">
        <v>904</v>
      </c>
      <c r="C17" s="890"/>
      <c r="D17" s="890"/>
      <c r="E17" s="890"/>
      <c r="F17" s="890"/>
      <c r="G17" s="129">
        <f>ROUND(G16,0)</f>
        <v>3084</v>
      </c>
      <c r="H17" s="299"/>
    </row>
    <row r="18" spans="1:8" ht="12.75">
      <c r="A18" s="206"/>
      <c r="B18" s="17"/>
      <c r="C18" s="17"/>
      <c r="D18" s="17"/>
      <c r="E18" s="17"/>
      <c r="F18" s="17"/>
      <c r="G18" s="17"/>
      <c r="H18" s="17"/>
    </row>
    <row r="19" spans="1:8" ht="12.75">
      <c r="A19" s="206"/>
      <c r="B19" s="17"/>
      <c r="C19" s="17"/>
      <c r="D19" s="17"/>
      <c r="E19" s="17"/>
      <c r="F19" s="17"/>
      <c r="G19" s="17"/>
      <c r="H19" s="17"/>
    </row>
  </sheetData>
  <sheetProtection/>
  <mergeCells count="8">
    <mergeCell ref="B16:F16"/>
    <mergeCell ref="B17:F17"/>
    <mergeCell ref="B2:D2"/>
    <mergeCell ref="D3:E3"/>
    <mergeCell ref="B4:G4"/>
    <mergeCell ref="B6:D6"/>
    <mergeCell ref="B15:C15"/>
    <mergeCell ref="D15:F15"/>
  </mergeCells>
  <printOptions/>
  <pageMargins left="1" right="0.15" top="1" bottom="1" header="0.5" footer="0.5"/>
  <pageSetup horizontalDpi="600" verticalDpi="600" orientation="landscape" scale="11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7.140625" style="23" customWidth="1"/>
    <col min="2" max="2" width="43.00390625" style="2" customWidth="1"/>
    <col min="3" max="3" width="14.00390625" style="2" customWidth="1"/>
    <col min="4" max="4" width="5.140625" style="2" bestFit="1" customWidth="1"/>
    <col min="5" max="5" width="5.00390625" style="2" bestFit="1" customWidth="1"/>
    <col min="6" max="6" width="8.57421875" style="2" bestFit="1" customWidth="1"/>
    <col min="7" max="9" width="10.8515625" style="2" customWidth="1"/>
    <col min="10" max="10" width="11.140625" style="2" customWidth="1"/>
    <col min="11" max="16384" width="9.140625" style="2" customWidth="1"/>
  </cols>
  <sheetData>
    <row r="1" spans="1:10" ht="24.75" customHeight="1">
      <c r="A1" s="660"/>
      <c r="B1" s="900" t="s">
        <v>905</v>
      </c>
      <c r="C1" s="900"/>
      <c r="D1" s="900"/>
      <c r="E1" s="900"/>
      <c r="F1" s="661"/>
      <c r="G1" s="661"/>
      <c r="H1" s="661"/>
      <c r="I1" s="661"/>
      <c r="J1" s="630"/>
    </row>
    <row r="2" spans="1:10" ht="9.75" customHeight="1">
      <c r="A2" s="660"/>
      <c r="B2" s="662"/>
      <c r="C2" s="662"/>
      <c r="D2" s="662"/>
      <c r="E2" s="662"/>
      <c r="F2" s="661"/>
      <c r="G2" s="661"/>
      <c r="H2" s="661"/>
      <c r="I2" s="661"/>
      <c r="J2" s="630"/>
    </row>
    <row r="3" spans="1:10" ht="35.25">
      <c r="A3" s="660"/>
      <c r="B3" s="781" t="s">
        <v>906</v>
      </c>
      <c r="C3" s="781"/>
      <c r="D3" s="781"/>
      <c r="E3" s="781"/>
      <c r="F3" s="781"/>
      <c r="G3" s="781"/>
      <c r="H3" s="13"/>
      <c r="I3" s="13"/>
      <c r="J3" s="661"/>
    </row>
    <row r="4" spans="1:10" ht="16.5" customHeight="1">
      <c r="A4" s="660"/>
      <c r="B4" s="13"/>
      <c r="C4" s="13"/>
      <c r="D4" s="13"/>
      <c r="E4" s="13"/>
      <c r="F4" s="13"/>
      <c r="G4" s="13"/>
      <c r="H4" s="13"/>
      <c r="I4" s="13"/>
      <c r="J4" s="661"/>
    </row>
    <row r="5" spans="1:10" ht="18" customHeight="1">
      <c r="A5" s="660"/>
      <c r="B5" s="841" t="s">
        <v>1350</v>
      </c>
      <c r="C5" s="841"/>
      <c r="D5" s="841"/>
      <c r="E5" s="15"/>
      <c r="G5" s="15"/>
      <c r="H5" s="738" t="s">
        <v>1003</v>
      </c>
      <c r="I5" s="15"/>
      <c r="J5" s="15"/>
    </row>
    <row r="6" spans="1:10" ht="18" customHeight="1">
      <c r="A6" s="660"/>
      <c r="B6" s="13"/>
      <c r="C6" s="13"/>
      <c r="D6" s="13"/>
      <c r="E6" s="15"/>
      <c r="F6" s="13"/>
      <c r="G6" s="15"/>
      <c r="H6" s="15"/>
      <c r="I6" s="15"/>
      <c r="J6" s="15"/>
    </row>
    <row r="7" spans="1:14" ht="30" customHeight="1">
      <c r="A7" s="782" t="s">
        <v>191</v>
      </c>
      <c r="B7" s="782" t="s">
        <v>23</v>
      </c>
      <c r="C7" s="782" t="s">
        <v>79</v>
      </c>
      <c r="D7" s="782" t="s">
        <v>24</v>
      </c>
      <c r="E7" s="782" t="s">
        <v>178</v>
      </c>
      <c r="F7" s="782" t="s">
        <v>1351</v>
      </c>
      <c r="G7" s="782"/>
      <c r="H7" s="782" t="s">
        <v>1352</v>
      </c>
      <c r="I7" s="782"/>
      <c r="J7" s="661"/>
      <c r="L7" s="13"/>
      <c r="M7" s="13"/>
      <c r="N7" s="38"/>
    </row>
    <row r="8" spans="1:10" ht="15">
      <c r="A8" s="782"/>
      <c r="B8" s="782"/>
      <c r="C8" s="782"/>
      <c r="D8" s="782"/>
      <c r="E8" s="782"/>
      <c r="F8" s="14" t="s">
        <v>80</v>
      </c>
      <c r="G8" s="14" t="s">
        <v>1011</v>
      </c>
      <c r="H8" s="14" t="s">
        <v>80</v>
      </c>
      <c r="I8" s="14" t="s">
        <v>1011</v>
      </c>
      <c r="J8" s="661"/>
    </row>
    <row r="9" spans="1:11" ht="15">
      <c r="A9" s="14">
        <v>1</v>
      </c>
      <c r="B9" s="39">
        <v>2</v>
      </c>
      <c r="C9" s="14">
        <v>3</v>
      </c>
      <c r="D9" s="39">
        <v>4</v>
      </c>
      <c r="E9" s="39">
        <v>5</v>
      </c>
      <c r="F9" s="39">
        <v>6</v>
      </c>
      <c r="G9" s="14">
        <v>7</v>
      </c>
      <c r="H9" s="14">
        <v>8</v>
      </c>
      <c r="I9" s="14">
        <v>9</v>
      </c>
      <c r="J9" s="66"/>
      <c r="K9" s="67"/>
    </row>
    <row r="10" spans="1:10" ht="34.5" customHeight="1">
      <c r="A10" s="663">
        <v>1</v>
      </c>
      <c r="B10" s="147" t="s">
        <v>907</v>
      </c>
      <c r="C10" s="141"/>
      <c r="D10" s="199" t="s">
        <v>307</v>
      </c>
      <c r="E10" s="199">
        <v>30</v>
      </c>
      <c r="F10" s="288">
        <v>36</v>
      </c>
      <c r="G10" s="89">
        <f>F10*E10</f>
        <v>1080</v>
      </c>
      <c r="H10" s="89"/>
      <c r="I10" s="89"/>
      <c r="J10" s="661"/>
    </row>
    <row r="11" spans="1:10" ht="32.25" customHeight="1">
      <c r="A11" s="663">
        <v>2</v>
      </c>
      <c r="B11" s="85" t="s">
        <v>1355</v>
      </c>
      <c r="C11" s="86">
        <v>7130310039</v>
      </c>
      <c r="D11" s="199" t="s">
        <v>307</v>
      </c>
      <c r="E11" s="199">
        <v>30</v>
      </c>
      <c r="F11" s="288"/>
      <c r="G11" s="89"/>
      <c r="H11" s="89">
        <f>VLOOKUP(C11,'SOR RATE'!A:D,4,0)</f>
        <v>27</v>
      </c>
      <c r="I11" s="89">
        <f aca="true" t="shared" si="0" ref="I11:I17">E11*H11</f>
        <v>810</v>
      </c>
      <c r="J11" s="661"/>
    </row>
    <row r="12" spans="1:9" ht="15.75" customHeight="1">
      <c r="A12" s="663">
        <v>3</v>
      </c>
      <c r="B12" s="85" t="s">
        <v>1356</v>
      </c>
      <c r="C12" s="86">
        <v>7130820101</v>
      </c>
      <c r="D12" s="87" t="s">
        <v>1013</v>
      </c>
      <c r="E12" s="87">
        <v>2</v>
      </c>
      <c r="F12" s="89">
        <f>VLOOKUP(C12,'SOR RATE'!A:D,4,0)</f>
        <v>9</v>
      </c>
      <c r="G12" s="89">
        <f aca="true" t="shared" si="1" ref="G12:G17">F12*E12</f>
        <v>18</v>
      </c>
      <c r="H12" s="89">
        <f aca="true" t="shared" si="2" ref="H12:H17">+F12</f>
        <v>9</v>
      </c>
      <c r="I12" s="89">
        <f t="shared" si="0"/>
        <v>18</v>
      </c>
    </row>
    <row r="13" spans="1:9" ht="18.75" customHeight="1">
      <c r="A13" s="663">
        <v>4</v>
      </c>
      <c r="B13" s="85" t="s">
        <v>1357</v>
      </c>
      <c r="C13" s="86">
        <v>7130820206</v>
      </c>
      <c r="D13" s="87" t="s">
        <v>1013</v>
      </c>
      <c r="E13" s="87">
        <v>2</v>
      </c>
      <c r="F13" s="89">
        <f>VLOOKUP(C13,'SOR RATE'!A:D,4,0)</f>
        <v>30</v>
      </c>
      <c r="G13" s="89">
        <f t="shared" si="1"/>
        <v>60</v>
      </c>
      <c r="H13" s="89">
        <f t="shared" si="2"/>
        <v>30</v>
      </c>
      <c r="I13" s="89">
        <f t="shared" si="0"/>
        <v>60</v>
      </c>
    </row>
    <row r="14" spans="1:13" ht="33.75" customHeight="1">
      <c r="A14" s="663">
        <v>5</v>
      </c>
      <c r="B14" s="85" t="s">
        <v>1358</v>
      </c>
      <c r="C14" s="86">
        <v>7132406022</v>
      </c>
      <c r="D14" s="154" t="s">
        <v>817</v>
      </c>
      <c r="E14" s="154">
        <v>1</v>
      </c>
      <c r="F14" s="89">
        <f>VLOOKUP(C14,'SOR RATE'!A:D,4,0)</f>
        <v>131</v>
      </c>
      <c r="G14" s="155">
        <f t="shared" si="1"/>
        <v>131</v>
      </c>
      <c r="H14" s="89">
        <f t="shared" si="2"/>
        <v>131</v>
      </c>
      <c r="I14" s="89">
        <f t="shared" si="0"/>
        <v>131</v>
      </c>
      <c r="J14" s="661"/>
      <c r="K14" s="45"/>
      <c r="L14" s="45"/>
      <c r="M14" s="45"/>
    </row>
    <row r="15" spans="1:11" ht="18" customHeight="1">
      <c r="A15" s="663">
        <v>6</v>
      </c>
      <c r="B15" s="85" t="s">
        <v>1359</v>
      </c>
      <c r="C15" s="84">
        <v>7132476007</v>
      </c>
      <c r="D15" s="86" t="s">
        <v>1360</v>
      </c>
      <c r="E15" s="87">
        <v>1</v>
      </c>
      <c r="F15" s="89">
        <f>VLOOKUP(C15,'SOR RATE'!A:D,4,0)</f>
        <v>15</v>
      </c>
      <c r="G15" s="89">
        <f t="shared" si="1"/>
        <v>15</v>
      </c>
      <c r="H15" s="89">
        <f t="shared" si="2"/>
        <v>15</v>
      </c>
      <c r="I15" s="89">
        <f t="shared" si="0"/>
        <v>15</v>
      </c>
      <c r="J15" s="661"/>
      <c r="K15" s="2" t="s">
        <v>1190</v>
      </c>
    </row>
    <row r="16" spans="1:10" ht="18" customHeight="1">
      <c r="A16" s="663">
        <v>7</v>
      </c>
      <c r="B16" s="85" t="s">
        <v>1361</v>
      </c>
      <c r="C16" s="86"/>
      <c r="D16" s="87" t="s">
        <v>1362</v>
      </c>
      <c r="E16" s="87">
        <v>1</v>
      </c>
      <c r="F16" s="89">
        <v>35</v>
      </c>
      <c r="G16" s="89">
        <f t="shared" si="1"/>
        <v>35</v>
      </c>
      <c r="H16" s="89">
        <f t="shared" si="2"/>
        <v>35</v>
      </c>
      <c r="I16" s="89">
        <f t="shared" si="0"/>
        <v>35</v>
      </c>
      <c r="J16" s="661"/>
    </row>
    <row r="17" spans="1:10" ht="15" customHeight="1">
      <c r="A17" s="663">
        <v>8</v>
      </c>
      <c r="B17" s="243" t="s">
        <v>1363</v>
      </c>
      <c r="C17" s="87"/>
      <c r="D17" s="87" t="s">
        <v>1362</v>
      </c>
      <c r="E17" s="87">
        <v>1</v>
      </c>
      <c r="F17" s="89">
        <f>+'[2]E-2 page 158'!F19</f>
        <v>30</v>
      </c>
      <c r="G17" s="89">
        <f t="shared" si="1"/>
        <v>30</v>
      </c>
      <c r="H17" s="89">
        <f t="shared" si="2"/>
        <v>30</v>
      </c>
      <c r="I17" s="89">
        <f t="shared" si="0"/>
        <v>30</v>
      </c>
      <c r="J17" s="661"/>
    </row>
    <row r="18" spans="1:11" ht="16.5" customHeight="1">
      <c r="A18" s="664">
        <v>9</v>
      </c>
      <c r="B18" s="97" t="s">
        <v>937</v>
      </c>
      <c r="C18" s="665"/>
      <c r="D18" s="665"/>
      <c r="E18" s="665"/>
      <c r="F18" s="666"/>
      <c r="G18" s="98">
        <f>SUM(G10:G17)</f>
        <v>1369</v>
      </c>
      <c r="H18" s="98"/>
      <c r="I18" s="98">
        <f>I11+I12+I13+I14+I15+I16+I17</f>
        <v>1099</v>
      </c>
      <c r="J18" s="60"/>
      <c r="K18" s="59"/>
    </row>
    <row r="19" spans="1:11" ht="17.25" customHeight="1">
      <c r="A19" s="667">
        <v>10</v>
      </c>
      <c r="B19" s="90" t="s">
        <v>936</v>
      </c>
      <c r="C19" s="668"/>
      <c r="D19" s="668"/>
      <c r="E19" s="668"/>
      <c r="F19" s="241" t="s">
        <v>1364</v>
      </c>
      <c r="G19" s="89">
        <f>G18*F19</f>
        <v>123.21</v>
      </c>
      <c r="H19" s="89">
        <v>0.09</v>
      </c>
      <c r="I19" s="89">
        <f>I18*H19</f>
        <v>98.91</v>
      </c>
      <c r="J19" s="63"/>
      <c r="K19" s="60"/>
    </row>
    <row r="20" spans="1:10" ht="17.25" customHeight="1">
      <c r="A20" s="663">
        <v>11</v>
      </c>
      <c r="B20" s="901" t="s">
        <v>775</v>
      </c>
      <c r="C20" s="902"/>
      <c r="D20" s="901" t="s">
        <v>1365</v>
      </c>
      <c r="E20" s="903"/>
      <c r="F20" s="904"/>
      <c r="G20" s="89">
        <f>125*1.0891*1.086275*1.1112*1.0685</f>
        <v>175.58374787080163</v>
      </c>
      <c r="H20" s="89"/>
      <c r="I20" s="89">
        <f>+G20</f>
        <v>175.58374787080163</v>
      </c>
      <c r="J20" s="661"/>
    </row>
    <row r="21" spans="1:10" ht="17.25" customHeight="1">
      <c r="A21" s="664">
        <v>12</v>
      </c>
      <c r="B21" s="899" t="s">
        <v>908</v>
      </c>
      <c r="C21" s="899"/>
      <c r="D21" s="899"/>
      <c r="E21" s="899"/>
      <c r="F21" s="899"/>
      <c r="G21" s="98">
        <f>G18+G19+G20</f>
        <v>1667.7937478708018</v>
      </c>
      <c r="H21" s="98"/>
      <c r="I21" s="98">
        <f>I18+I19+I20</f>
        <v>1373.4937478708016</v>
      </c>
      <c r="J21" s="661"/>
    </row>
    <row r="22" spans="1:10" ht="19.5" customHeight="1">
      <c r="A22" s="664">
        <v>13</v>
      </c>
      <c r="B22" s="899" t="s">
        <v>909</v>
      </c>
      <c r="C22" s="899"/>
      <c r="D22" s="899"/>
      <c r="E22" s="899"/>
      <c r="F22" s="899"/>
      <c r="G22" s="98">
        <f>ROUND(G21,0)</f>
        <v>1668</v>
      </c>
      <c r="H22" s="98"/>
      <c r="I22" s="98">
        <f>ROUND(I21,0)</f>
        <v>1373</v>
      </c>
      <c r="J22" s="661"/>
    </row>
    <row r="23" spans="1:10" ht="17.25" customHeight="1">
      <c r="A23" s="660"/>
      <c r="B23" s="669"/>
      <c r="C23" s="669"/>
      <c r="D23" s="669"/>
      <c r="E23" s="669"/>
      <c r="F23" s="669"/>
      <c r="G23" s="670"/>
      <c r="H23" s="670"/>
      <c r="I23" s="670"/>
      <c r="J23" s="661"/>
    </row>
    <row r="24" spans="1:10" ht="17.25" customHeight="1">
      <c r="A24" s="660"/>
      <c r="B24" s="669"/>
      <c r="C24" s="669"/>
      <c r="D24" s="669"/>
      <c r="E24" s="669"/>
      <c r="F24" s="669"/>
      <c r="G24" s="670"/>
      <c r="H24" s="670"/>
      <c r="I24" s="670"/>
      <c r="J24" s="661"/>
    </row>
  </sheetData>
  <sheetProtection/>
  <mergeCells count="14">
    <mergeCell ref="H7:I7"/>
    <mergeCell ref="B20:C20"/>
    <mergeCell ref="D20:F20"/>
    <mergeCell ref="B21:F21"/>
    <mergeCell ref="A7:A8"/>
    <mergeCell ref="B7:B8"/>
    <mergeCell ref="C7:C8"/>
    <mergeCell ref="D7:D8"/>
    <mergeCell ref="B22:F22"/>
    <mergeCell ref="B1:E1"/>
    <mergeCell ref="B3:G3"/>
    <mergeCell ref="B5:D5"/>
    <mergeCell ref="E7:E8"/>
    <mergeCell ref="F7:G7"/>
  </mergeCells>
  <conditionalFormatting sqref="C11 C16 B14:B16 B10:B11">
    <cfRule type="cellIs" priority="1" dxfId="0" operator="equal" stopIfTrue="1">
      <formula>"?"</formula>
    </cfRule>
  </conditionalFormatting>
  <printOptions/>
  <pageMargins left="0.95" right="0.15" top="0.65" bottom="0.38" header="0.35" footer="0.16"/>
  <pageSetup horizontalDpi="600" verticalDpi="600" orientation="landscape" scale="1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7109375" style="23" customWidth="1"/>
    <col min="2" max="2" width="43.00390625" style="2" customWidth="1"/>
    <col min="3" max="3" width="13.421875" style="2" customWidth="1"/>
    <col min="4" max="4" width="5.140625" style="2" bestFit="1" customWidth="1"/>
    <col min="5" max="5" width="5.00390625" style="2" bestFit="1" customWidth="1"/>
    <col min="6" max="6" width="7.28125" style="2" bestFit="1" customWidth="1"/>
    <col min="7" max="7" width="8.57421875" style="2" bestFit="1" customWidth="1"/>
    <col min="8" max="8" width="8.8515625" style="2" customWidth="1"/>
    <col min="9" max="9" width="11.57421875" style="2" customWidth="1"/>
    <col min="10" max="10" width="12.00390625" style="2" customWidth="1"/>
    <col min="11" max="16384" width="9.140625" style="2" customWidth="1"/>
  </cols>
  <sheetData>
    <row r="1" spans="1:8" ht="21" customHeight="1">
      <c r="A1" s="660"/>
      <c r="B1" s="906" t="s">
        <v>910</v>
      </c>
      <c r="C1" s="906"/>
      <c r="D1" s="906"/>
      <c r="E1" s="906"/>
      <c r="F1" s="661"/>
      <c r="G1" s="661"/>
      <c r="H1" s="661"/>
    </row>
    <row r="2" spans="1:8" ht="6.75" customHeight="1">
      <c r="A2" s="660"/>
      <c r="B2" s="662"/>
      <c r="C2" s="662"/>
      <c r="D2" s="662"/>
      <c r="E2" s="662"/>
      <c r="F2" s="661"/>
      <c r="G2" s="661"/>
      <c r="H2" s="661"/>
    </row>
    <row r="3" spans="1:8" ht="35.25">
      <c r="A3" s="660"/>
      <c r="B3" s="781" t="s">
        <v>911</v>
      </c>
      <c r="C3" s="781"/>
      <c r="D3" s="781"/>
      <c r="E3" s="781"/>
      <c r="F3" s="781"/>
      <c r="G3" s="781"/>
      <c r="H3" s="661"/>
    </row>
    <row r="4" spans="1:8" ht="15.75" customHeight="1">
      <c r="A4" s="660"/>
      <c r="B4" s="671"/>
      <c r="C4" s="671"/>
      <c r="D4" s="671"/>
      <c r="E4" s="671"/>
      <c r="F4" s="671"/>
      <c r="G4" s="671"/>
      <c r="H4" s="661"/>
    </row>
    <row r="5" spans="1:9" ht="18" customHeight="1">
      <c r="A5" s="660"/>
      <c r="B5" s="672" t="s">
        <v>1369</v>
      </c>
      <c r="C5" s="633"/>
      <c r="D5" s="633"/>
      <c r="E5" s="633"/>
      <c r="H5" s="909" t="s">
        <v>1003</v>
      </c>
      <c r="I5" s="909"/>
    </row>
    <row r="6" spans="1:8" ht="11.25" customHeight="1">
      <c r="A6" s="660"/>
      <c r="B6" s="202"/>
      <c r="C6" s="633"/>
      <c r="D6" s="633"/>
      <c r="E6" s="633"/>
      <c r="F6" s="202"/>
      <c r="G6" s="202"/>
      <c r="H6" s="661"/>
    </row>
    <row r="7" spans="1:9" ht="32.25" customHeight="1">
      <c r="A7" s="782" t="s">
        <v>191</v>
      </c>
      <c r="B7" s="782" t="s">
        <v>23</v>
      </c>
      <c r="C7" s="782" t="s">
        <v>79</v>
      </c>
      <c r="D7" s="782" t="s">
        <v>24</v>
      </c>
      <c r="E7" s="782" t="s">
        <v>178</v>
      </c>
      <c r="F7" s="782" t="s">
        <v>1351</v>
      </c>
      <c r="G7" s="782"/>
      <c r="H7" s="782" t="s">
        <v>1352</v>
      </c>
      <c r="I7" s="782"/>
    </row>
    <row r="8" spans="1:9" ht="18.75" customHeight="1">
      <c r="A8" s="782"/>
      <c r="B8" s="782"/>
      <c r="C8" s="782"/>
      <c r="D8" s="782"/>
      <c r="E8" s="782"/>
      <c r="F8" s="14" t="s">
        <v>80</v>
      </c>
      <c r="G8" s="14" t="s">
        <v>1011</v>
      </c>
      <c r="H8" s="14" t="s">
        <v>80</v>
      </c>
      <c r="I8" s="14" t="s">
        <v>1011</v>
      </c>
    </row>
    <row r="9" spans="1:11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36">
        <v>8</v>
      </c>
      <c r="I9" s="14">
        <v>9</v>
      </c>
      <c r="J9" s="66"/>
      <c r="K9" s="67"/>
    </row>
    <row r="10" spans="1:9" ht="30.75" customHeight="1">
      <c r="A10" s="663">
        <v>1</v>
      </c>
      <c r="B10" s="85" t="s">
        <v>912</v>
      </c>
      <c r="D10" s="87" t="s">
        <v>307</v>
      </c>
      <c r="E10" s="87">
        <v>30</v>
      </c>
      <c r="F10" s="89">
        <v>62</v>
      </c>
      <c r="G10" s="89">
        <f aca="true" t="shared" si="0" ref="G10:G17">F10*E10</f>
        <v>1860</v>
      </c>
      <c r="H10" s="87"/>
      <c r="I10" s="87"/>
    </row>
    <row r="11" spans="1:9" ht="30" customHeight="1">
      <c r="A11" s="663">
        <v>2</v>
      </c>
      <c r="B11" s="95" t="s">
        <v>1372</v>
      </c>
      <c r="C11" s="87">
        <v>7130310040</v>
      </c>
      <c r="D11" s="87" t="s">
        <v>307</v>
      </c>
      <c r="E11" s="87">
        <v>30</v>
      </c>
      <c r="F11" s="89"/>
      <c r="G11" s="89"/>
      <c r="H11" s="89">
        <f>VLOOKUP(C11,'SOR RATE'!A:D,4,0)</f>
        <v>55</v>
      </c>
      <c r="I11" s="89">
        <f aca="true" t="shared" si="1" ref="I11:I17">E11*H11</f>
        <v>1650</v>
      </c>
    </row>
    <row r="12" spans="1:9" ht="15.75" customHeight="1">
      <c r="A12" s="663">
        <v>3</v>
      </c>
      <c r="B12" s="85" t="s">
        <v>1356</v>
      </c>
      <c r="C12" s="86">
        <v>7130820101</v>
      </c>
      <c r="D12" s="87" t="s">
        <v>1013</v>
      </c>
      <c r="E12" s="87">
        <v>2</v>
      </c>
      <c r="F12" s="89">
        <f>VLOOKUP(C12,'SOR RATE'!A:D,4,0)</f>
        <v>9</v>
      </c>
      <c r="G12" s="89">
        <f t="shared" si="0"/>
        <v>18</v>
      </c>
      <c r="H12" s="89">
        <f aca="true" t="shared" si="2" ref="H12:H17">+F12</f>
        <v>9</v>
      </c>
      <c r="I12" s="89">
        <f t="shared" si="1"/>
        <v>18</v>
      </c>
    </row>
    <row r="13" spans="1:9" ht="15.75" customHeight="1">
      <c r="A13" s="663">
        <v>4</v>
      </c>
      <c r="B13" s="85" t="s">
        <v>1357</v>
      </c>
      <c r="C13" s="86">
        <v>7130820206</v>
      </c>
      <c r="D13" s="87" t="s">
        <v>1013</v>
      </c>
      <c r="E13" s="87">
        <v>2</v>
      </c>
      <c r="F13" s="89">
        <f>VLOOKUP(C13,'SOR RATE'!A:D,4,0)</f>
        <v>30</v>
      </c>
      <c r="G13" s="89">
        <f t="shared" si="0"/>
        <v>60</v>
      </c>
      <c r="H13" s="89">
        <f t="shared" si="2"/>
        <v>30</v>
      </c>
      <c r="I13" s="89">
        <f t="shared" si="1"/>
        <v>60</v>
      </c>
    </row>
    <row r="14" spans="1:13" ht="49.5" customHeight="1">
      <c r="A14" s="663">
        <v>5</v>
      </c>
      <c r="B14" s="95" t="s">
        <v>1373</v>
      </c>
      <c r="C14" s="86">
        <v>7132455002</v>
      </c>
      <c r="D14" s="87" t="s">
        <v>817</v>
      </c>
      <c r="E14" s="87">
        <v>1</v>
      </c>
      <c r="F14" s="89">
        <f>VLOOKUP(C14,'SOR RATE'!A:D,4,0)</f>
        <v>274</v>
      </c>
      <c r="G14" s="89">
        <f t="shared" si="0"/>
        <v>274</v>
      </c>
      <c r="H14" s="89">
        <f t="shared" si="2"/>
        <v>274</v>
      </c>
      <c r="I14" s="89">
        <f t="shared" si="1"/>
        <v>274</v>
      </c>
      <c r="K14" s="45"/>
      <c r="L14" s="45"/>
      <c r="M14" s="45"/>
    </row>
    <row r="15" spans="1:11" ht="15.75" customHeight="1">
      <c r="A15" s="663">
        <v>6</v>
      </c>
      <c r="B15" s="85" t="s">
        <v>1359</v>
      </c>
      <c r="C15" s="84">
        <v>7132476007</v>
      </c>
      <c r="D15" s="86" t="s">
        <v>1360</v>
      </c>
      <c r="E15" s="87">
        <v>1</v>
      </c>
      <c r="F15" s="89">
        <f>VLOOKUP(C15,'SOR RATE'!A:D,4,0)</f>
        <v>15</v>
      </c>
      <c r="G15" s="89">
        <f t="shared" si="0"/>
        <v>15</v>
      </c>
      <c r="H15" s="89">
        <f t="shared" si="2"/>
        <v>15</v>
      </c>
      <c r="I15" s="89">
        <f t="shared" si="1"/>
        <v>15</v>
      </c>
      <c r="K15" s="2" t="s">
        <v>1190</v>
      </c>
    </row>
    <row r="16" spans="1:9" ht="15.75" customHeight="1">
      <c r="A16" s="663">
        <v>7</v>
      </c>
      <c r="B16" s="85" t="s">
        <v>1361</v>
      </c>
      <c r="C16" s="86"/>
      <c r="D16" s="87" t="s">
        <v>1362</v>
      </c>
      <c r="E16" s="87">
        <v>1</v>
      </c>
      <c r="F16" s="89">
        <f>+'[2]E-5 page 161'!F16</f>
        <v>35</v>
      </c>
      <c r="G16" s="89">
        <f t="shared" si="0"/>
        <v>35</v>
      </c>
      <c r="H16" s="89">
        <f t="shared" si="2"/>
        <v>35</v>
      </c>
      <c r="I16" s="89">
        <f t="shared" si="1"/>
        <v>35</v>
      </c>
    </row>
    <row r="17" spans="1:9" ht="15.75" customHeight="1">
      <c r="A17" s="663">
        <v>8</v>
      </c>
      <c r="B17" s="85" t="s">
        <v>1363</v>
      </c>
      <c r="C17" s="86"/>
      <c r="D17" s="87" t="s">
        <v>1362</v>
      </c>
      <c r="E17" s="87">
        <v>1</v>
      </c>
      <c r="F17" s="89">
        <f>+'[2]E-5 page 161'!F17</f>
        <v>30</v>
      </c>
      <c r="G17" s="89">
        <f t="shared" si="0"/>
        <v>30</v>
      </c>
      <c r="H17" s="89">
        <f t="shared" si="2"/>
        <v>30</v>
      </c>
      <c r="I17" s="89">
        <f t="shared" si="1"/>
        <v>30</v>
      </c>
    </row>
    <row r="18" spans="1:11" ht="15.75" customHeight="1">
      <c r="A18" s="673">
        <v>9</v>
      </c>
      <c r="B18" s="97" t="s">
        <v>937</v>
      </c>
      <c r="C18" s="665"/>
      <c r="D18" s="665"/>
      <c r="E18" s="665"/>
      <c r="F18" s="666"/>
      <c r="G18" s="750">
        <f>SUM(G10:G17)</f>
        <v>2292</v>
      </c>
      <c r="H18" s="87"/>
      <c r="I18" s="98">
        <f>I11+I12+I13+I14+I15+I16+I17</f>
        <v>2082</v>
      </c>
      <c r="J18" s="60"/>
      <c r="K18" s="59"/>
    </row>
    <row r="19" spans="1:11" ht="15.75" customHeight="1">
      <c r="A19" s="663">
        <v>10</v>
      </c>
      <c r="B19" s="90" t="s">
        <v>936</v>
      </c>
      <c r="C19" s="668"/>
      <c r="D19" s="668"/>
      <c r="E19" s="668"/>
      <c r="F19" s="241" t="s">
        <v>1364</v>
      </c>
      <c r="G19" s="89">
        <f>G18*F19</f>
        <v>206.28</v>
      </c>
      <c r="H19" s="87">
        <v>0.09</v>
      </c>
      <c r="I19" s="89">
        <f>I18*H19</f>
        <v>187.38</v>
      </c>
      <c r="J19" s="63"/>
      <c r="K19" s="60"/>
    </row>
    <row r="20" spans="1:9" ht="15.75" customHeight="1">
      <c r="A20" s="663">
        <v>11</v>
      </c>
      <c r="B20" s="907" t="s">
        <v>775</v>
      </c>
      <c r="C20" s="907"/>
      <c r="D20" s="908" t="s">
        <v>1365</v>
      </c>
      <c r="E20" s="908"/>
      <c r="F20" s="908"/>
      <c r="G20" s="89">
        <f>200*1.0891*1.086275*1.1112*1.0685</f>
        <v>280.9339965932826</v>
      </c>
      <c r="H20" s="87"/>
      <c r="I20" s="89">
        <f>+G20</f>
        <v>280.9339965932826</v>
      </c>
    </row>
    <row r="21" spans="1:9" ht="15.75" customHeight="1">
      <c r="A21" s="673">
        <v>12</v>
      </c>
      <c r="B21" s="905" t="s">
        <v>913</v>
      </c>
      <c r="C21" s="905"/>
      <c r="D21" s="905"/>
      <c r="E21" s="905"/>
      <c r="F21" s="905"/>
      <c r="G21" s="98">
        <f>G18+G19+G20</f>
        <v>2779.213996593283</v>
      </c>
      <c r="H21" s="87"/>
      <c r="I21" s="98">
        <f>I18+I19+I20</f>
        <v>2550.313996593283</v>
      </c>
    </row>
    <row r="22" spans="1:9" ht="15.75" customHeight="1">
      <c r="A22" s="674">
        <v>13</v>
      </c>
      <c r="B22" s="905" t="s">
        <v>914</v>
      </c>
      <c r="C22" s="905"/>
      <c r="D22" s="905"/>
      <c r="E22" s="905"/>
      <c r="F22" s="905"/>
      <c r="G22" s="98">
        <f>ROUND(G21,0)</f>
        <v>2779</v>
      </c>
      <c r="H22" s="98"/>
      <c r="I22" s="98">
        <f>ROUND(I21,0)</f>
        <v>2550</v>
      </c>
    </row>
    <row r="23" spans="1:8" ht="14.25">
      <c r="A23" s="331"/>
      <c r="B23" s="661"/>
      <c r="C23" s="661"/>
      <c r="D23" s="661"/>
      <c r="E23" s="661"/>
      <c r="F23" s="661"/>
      <c r="G23" s="661"/>
      <c r="H23" s="661"/>
    </row>
  </sheetData>
  <sheetProtection/>
  <mergeCells count="14">
    <mergeCell ref="B1:E1"/>
    <mergeCell ref="B3:G3"/>
    <mergeCell ref="B20:C20"/>
    <mergeCell ref="D20:F20"/>
    <mergeCell ref="H5:I5"/>
    <mergeCell ref="E7:E8"/>
    <mergeCell ref="F7:G7"/>
    <mergeCell ref="H7:I7"/>
    <mergeCell ref="A7:A8"/>
    <mergeCell ref="B7:B8"/>
    <mergeCell ref="C7:C8"/>
    <mergeCell ref="D7:D8"/>
    <mergeCell ref="B21:F21"/>
    <mergeCell ref="B22:F22"/>
  </mergeCells>
  <conditionalFormatting sqref="B10 C16:C17 B15:B17">
    <cfRule type="cellIs" priority="1" dxfId="0" operator="equal" stopIfTrue="1">
      <formula>"?"</formula>
    </cfRule>
  </conditionalFormatting>
  <printOptions/>
  <pageMargins left="1.06" right="0.15" top="1" bottom="0.3" header="0.5" footer="0.16"/>
  <pageSetup horizontalDpi="600" verticalDpi="600" orientation="landscape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11"/>
  <sheetViews>
    <sheetView zoomScale="85" zoomScaleNormal="85" zoomScalePageLayoutView="0" workbookViewId="0" topLeftCell="A7">
      <pane xSplit="4" ySplit="3" topLeftCell="E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A7" sqref="A7:A8"/>
    </sheetView>
  </sheetViews>
  <sheetFormatPr defaultColWidth="9.140625" defaultRowHeight="12.75"/>
  <cols>
    <col min="1" max="1" width="5.421875" style="206" customWidth="1"/>
    <col min="2" max="2" width="41.57421875" style="17" customWidth="1"/>
    <col min="3" max="3" width="14.421875" style="216" customWidth="1"/>
    <col min="4" max="4" width="6.57421875" style="17" bestFit="1" customWidth="1"/>
    <col min="5" max="5" width="10.28125" style="17" bestFit="1" customWidth="1"/>
    <col min="6" max="6" width="7.8515625" style="17" bestFit="1" customWidth="1"/>
    <col min="7" max="7" width="13.8515625" style="17" bestFit="1" customWidth="1"/>
    <col min="8" max="8" width="9.8515625" style="17" customWidth="1"/>
    <col min="9" max="9" width="13.8515625" style="17" bestFit="1" customWidth="1"/>
    <col min="10" max="10" width="11.28125" style="17" bestFit="1" customWidth="1"/>
    <col min="11" max="11" width="13.8515625" style="17" bestFit="1" customWidth="1"/>
    <col min="12" max="12" width="12.28125" style="17" customWidth="1"/>
    <col min="13" max="13" width="36.57421875" style="17" customWidth="1"/>
    <col min="14" max="16384" width="9.140625" style="17" customWidth="1"/>
  </cols>
  <sheetData>
    <row r="1" spans="2:11" ht="18">
      <c r="B1" s="35"/>
      <c r="C1" s="35"/>
      <c r="D1" s="780" t="s">
        <v>1341</v>
      </c>
      <c r="E1" s="780"/>
      <c r="F1" s="780"/>
      <c r="G1" s="780"/>
      <c r="H1" s="780"/>
      <c r="I1" s="35"/>
      <c r="J1" s="35"/>
      <c r="K1" s="35"/>
    </row>
    <row r="3" spans="2:11" ht="36.75" customHeight="1">
      <c r="B3" s="781" t="s">
        <v>1344</v>
      </c>
      <c r="C3" s="781"/>
      <c r="D3" s="781"/>
      <c r="E3" s="781"/>
      <c r="F3" s="781"/>
      <c r="G3" s="781"/>
      <c r="H3" s="781"/>
      <c r="I3" s="781"/>
      <c r="J3" s="150"/>
      <c r="K3" s="150"/>
    </row>
    <row r="4" spans="1:11" ht="15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>
      <c r="A5" s="349"/>
      <c r="B5" s="214"/>
      <c r="C5" s="215"/>
      <c r="D5" s="214"/>
      <c r="E5" s="214"/>
      <c r="F5" s="214"/>
      <c r="G5" s="214"/>
      <c r="H5" s="214"/>
      <c r="I5" s="214"/>
      <c r="J5" s="214"/>
      <c r="K5" s="718" t="s">
        <v>1003</v>
      </c>
    </row>
    <row r="6" spans="1:11" ht="15.75">
      <c r="A6" s="349"/>
      <c r="B6" s="214"/>
      <c r="C6" s="215"/>
      <c r="D6" s="214"/>
      <c r="E6" s="214"/>
      <c r="F6" s="214"/>
      <c r="G6" s="214"/>
      <c r="H6" s="214"/>
      <c r="I6" s="214"/>
      <c r="J6" s="214"/>
      <c r="K6" s="20"/>
    </row>
    <row r="7" spans="1:11" ht="62.25" customHeight="1">
      <c r="A7" s="792" t="s">
        <v>1345</v>
      </c>
      <c r="B7" s="792" t="s">
        <v>23</v>
      </c>
      <c r="C7" s="793" t="s">
        <v>698</v>
      </c>
      <c r="D7" s="792" t="s">
        <v>24</v>
      </c>
      <c r="E7" s="792" t="s">
        <v>1010</v>
      </c>
      <c r="F7" s="792" t="s">
        <v>1313</v>
      </c>
      <c r="G7" s="792"/>
      <c r="H7" s="792" t="s">
        <v>1315</v>
      </c>
      <c r="I7" s="792"/>
      <c r="J7" s="792" t="s">
        <v>403</v>
      </c>
      <c r="K7" s="792"/>
    </row>
    <row r="8" spans="1:11" ht="15.75">
      <c r="A8" s="792"/>
      <c r="B8" s="792"/>
      <c r="C8" s="793"/>
      <c r="D8" s="792"/>
      <c r="E8" s="792"/>
      <c r="F8" s="12" t="s">
        <v>25</v>
      </c>
      <c r="G8" s="12" t="s">
        <v>1047</v>
      </c>
      <c r="H8" s="12" t="s">
        <v>25</v>
      </c>
      <c r="I8" s="12" t="s">
        <v>1047</v>
      </c>
      <c r="J8" s="12" t="s">
        <v>25</v>
      </c>
      <c r="K8" s="12" t="s">
        <v>1047</v>
      </c>
    </row>
    <row r="9" spans="1:11" ht="15.75">
      <c r="A9" s="263" t="s">
        <v>892</v>
      </c>
      <c r="B9" s="263" t="s">
        <v>893</v>
      </c>
      <c r="C9" s="263" t="s">
        <v>894</v>
      </c>
      <c r="D9" s="263" t="s">
        <v>650</v>
      </c>
      <c r="E9" s="263" t="s">
        <v>651</v>
      </c>
      <c r="F9" s="263" t="s">
        <v>895</v>
      </c>
      <c r="G9" s="263" t="s">
        <v>673</v>
      </c>
      <c r="H9" s="263" t="s">
        <v>674</v>
      </c>
      <c r="I9" s="263" t="s">
        <v>675</v>
      </c>
      <c r="J9" s="263" t="s">
        <v>676</v>
      </c>
      <c r="K9" s="263" t="s">
        <v>677</v>
      </c>
    </row>
    <row r="10" spans="1:11" ht="15">
      <c r="A10" s="79">
        <v>1</v>
      </c>
      <c r="B10" s="302" t="s">
        <v>404</v>
      </c>
      <c r="C10" s="301">
        <v>7130800012</v>
      </c>
      <c r="D10" s="79" t="s">
        <v>26</v>
      </c>
      <c r="E10" s="270">
        <f>VLOOKUP(C10,'SOR RATE'!A:D,4,0)</f>
        <v>1654</v>
      </c>
      <c r="F10" s="79">
        <v>17</v>
      </c>
      <c r="G10" s="270">
        <f>F10*E10</f>
        <v>28118</v>
      </c>
      <c r="H10" s="79">
        <v>17</v>
      </c>
      <c r="I10" s="270">
        <f>H10*E10</f>
        <v>28118</v>
      </c>
      <c r="J10" s="79">
        <v>17</v>
      </c>
      <c r="K10" s="270">
        <f>J10*E10</f>
        <v>28118</v>
      </c>
    </row>
    <row r="11" spans="1:11" ht="15">
      <c r="A11" s="79">
        <v>2</v>
      </c>
      <c r="B11" s="302" t="s">
        <v>405</v>
      </c>
      <c r="C11" s="301">
        <v>7130810441</v>
      </c>
      <c r="D11" s="79" t="s">
        <v>26</v>
      </c>
      <c r="E11" s="270">
        <f>VLOOKUP(C11,'SOR RATE'!A:D,4,0)</f>
        <v>736</v>
      </c>
      <c r="F11" s="79">
        <v>22</v>
      </c>
      <c r="G11" s="270">
        <f>F11*E11</f>
        <v>16192</v>
      </c>
      <c r="H11" s="79">
        <v>22</v>
      </c>
      <c r="I11" s="270">
        <f>H11*E11</f>
        <v>16192</v>
      </c>
      <c r="J11" s="79">
        <v>22</v>
      </c>
      <c r="K11" s="270">
        <f>J11*E11</f>
        <v>16192</v>
      </c>
    </row>
    <row r="12" spans="1:11" ht="15">
      <c r="A12" s="79">
        <v>3</v>
      </c>
      <c r="B12" s="302" t="s">
        <v>406</v>
      </c>
      <c r="C12" s="301">
        <v>7130820106</v>
      </c>
      <c r="D12" s="79" t="s">
        <v>26</v>
      </c>
      <c r="E12" s="270">
        <f>VLOOKUP(C12,'SOR RATE'!A:D,4,0)</f>
        <v>10</v>
      </c>
      <c r="F12" s="79">
        <v>66</v>
      </c>
      <c r="G12" s="270">
        <f>F12*E12</f>
        <v>660</v>
      </c>
      <c r="H12" s="79">
        <v>66</v>
      </c>
      <c r="I12" s="270">
        <f>H12*E12</f>
        <v>660</v>
      </c>
      <c r="J12" s="79">
        <v>66</v>
      </c>
      <c r="K12" s="270">
        <f>J12*E12</f>
        <v>660</v>
      </c>
    </row>
    <row r="13" spans="1:11" ht="18">
      <c r="A13" s="79">
        <v>4</v>
      </c>
      <c r="B13" s="302" t="s">
        <v>407</v>
      </c>
      <c r="C13" s="301">
        <v>7130820201</v>
      </c>
      <c r="D13" s="79" t="s">
        <v>26</v>
      </c>
      <c r="E13" s="270">
        <f>VLOOKUP(C13,'SOR RATE'!A:D,4,0)</f>
        <v>32</v>
      </c>
      <c r="F13" s="79">
        <v>17</v>
      </c>
      <c r="G13" s="270">
        <f>F13*E13</f>
        <v>544</v>
      </c>
      <c r="H13" s="79">
        <v>17</v>
      </c>
      <c r="I13" s="270">
        <f>H13*E13</f>
        <v>544</v>
      </c>
      <c r="J13" s="79">
        <v>17</v>
      </c>
      <c r="K13" s="270">
        <f>J13*E13</f>
        <v>544</v>
      </c>
    </row>
    <row r="14" spans="1:11" ht="30">
      <c r="A14" s="265">
        <v>5</v>
      </c>
      <c r="B14" s="269" t="s">
        <v>1321</v>
      </c>
      <c r="C14" s="301">
        <v>7130820216</v>
      </c>
      <c r="D14" s="265" t="s">
        <v>26</v>
      </c>
      <c r="E14" s="270">
        <f>VLOOKUP(C14,'SOR RATE'!A:D,4,0)</f>
        <v>34</v>
      </c>
      <c r="F14" s="265">
        <v>25</v>
      </c>
      <c r="G14" s="270">
        <f>F14*E14</f>
        <v>850</v>
      </c>
      <c r="H14" s="79">
        <v>25</v>
      </c>
      <c r="I14" s="270">
        <f>H14*E14</f>
        <v>850</v>
      </c>
      <c r="J14" s="79">
        <v>25</v>
      </c>
      <c r="K14" s="270">
        <f>J14*E14</f>
        <v>850</v>
      </c>
    </row>
    <row r="15" spans="1:15" s="2" customFormat="1" ht="17.25" customHeight="1">
      <c r="A15" s="789">
        <v>6</v>
      </c>
      <c r="B15" s="350" t="s">
        <v>1323</v>
      </c>
      <c r="C15" s="350"/>
      <c r="D15" s="351"/>
      <c r="E15" s="351"/>
      <c r="F15" s="351"/>
      <c r="G15" s="351"/>
      <c r="H15" s="351"/>
      <c r="I15" s="351"/>
      <c r="J15" s="351"/>
      <c r="K15" s="352"/>
      <c r="L15" s="353"/>
      <c r="M15" s="353"/>
      <c r="N15" s="353"/>
      <c r="O15" s="353"/>
    </row>
    <row r="16" spans="1:15" s="2" customFormat="1" ht="15">
      <c r="A16" s="790"/>
      <c r="B16" s="302" t="s">
        <v>1324</v>
      </c>
      <c r="C16" s="301">
        <v>7130830057</v>
      </c>
      <c r="D16" s="265" t="s">
        <v>307</v>
      </c>
      <c r="E16" s="270">
        <f>VLOOKUP(C16,'SOR RATE'!A:D,4,0)/1000</f>
        <v>33.544</v>
      </c>
      <c r="F16" s="79">
        <v>3090</v>
      </c>
      <c r="G16" s="270">
        <f>F16*E16</f>
        <v>103650.95999999999</v>
      </c>
      <c r="H16" s="354" t="s">
        <v>27</v>
      </c>
      <c r="I16" s="270"/>
      <c r="J16" s="354" t="s">
        <v>27</v>
      </c>
      <c r="K16" s="270"/>
      <c r="L16" s="355"/>
      <c r="M16" s="355"/>
      <c r="N16" s="355"/>
      <c r="O16" s="355"/>
    </row>
    <row r="17" spans="1:15" s="2" customFormat="1" ht="15">
      <c r="A17" s="790"/>
      <c r="B17" s="302" t="s">
        <v>1325</v>
      </c>
      <c r="C17" s="301">
        <v>7130830055</v>
      </c>
      <c r="D17" s="265" t="s">
        <v>307</v>
      </c>
      <c r="E17" s="270">
        <f>VLOOKUP(C17,'SOR RATE'!A:D,4,0)/1000</f>
        <v>20.281</v>
      </c>
      <c r="F17" s="354" t="s">
        <v>27</v>
      </c>
      <c r="G17" s="270"/>
      <c r="H17" s="354">
        <v>3090</v>
      </c>
      <c r="I17" s="270">
        <f aca="true" t="shared" si="0" ref="I17:I22">H17*E17</f>
        <v>62668.28999999999</v>
      </c>
      <c r="J17" s="354" t="s">
        <v>27</v>
      </c>
      <c r="K17" s="270"/>
      <c r="L17" s="38"/>
      <c r="M17" s="236"/>
      <c r="N17" s="356"/>
      <c r="O17" s="356"/>
    </row>
    <row r="18" spans="1:15" s="2" customFormat="1" ht="15">
      <c r="A18" s="791"/>
      <c r="B18" s="302" t="s">
        <v>1326</v>
      </c>
      <c r="C18" s="301">
        <v>7130830053</v>
      </c>
      <c r="D18" s="265" t="s">
        <v>307</v>
      </c>
      <c r="E18" s="270">
        <f>VLOOKUP(C18,'SOR RATE'!A:D,4,0)/1000</f>
        <v>13.002</v>
      </c>
      <c r="F18" s="79">
        <v>1030</v>
      </c>
      <c r="G18" s="270">
        <f>F18*E18</f>
        <v>13392.060000000001</v>
      </c>
      <c r="H18" s="270">
        <v>1030</v>
      </c>
      <c r="I18" s="270">
        <f t="shared" si="0"/>
        <v>13392.060000000001</v>
      </c>
      <c r="J18" s="270">
        <v>4120</v>
      </c>
      <c r="K18" s="270">
        <f>J18*E18</f>
        <v>53568.240000000005</v>
      </c>
      <c r="L18" s="236"/>
      <c r="M18" s="236"/>
      <c r="N18" s="236"/>
      <c r="O18" s="236"/>
    </row>
    <row r="19" spans="1:11" ht="15">
      <c r="A19" s="789">
        <v>7</v>
      </c>
      <c r="B19" s="302" t="s">
        <v>776</v>
      </c>
      <c r="C19" s="301">
        <v>7130860032</v>
      </c>
      <c r="D19" s="265" t="s">
        <v>26</v>
      </c>
      <c r="E19" s="270">
        <f>VLOOKUP(C19,'SOR RATE'!A:D,4,0)</f>
        <v>387</v>
      </c>
      <c r="F19" s="79">
        <v>9</v>
      </c>
      <c r="G19" s="270">
        <f>F19*E19</f>
        <v>3483</v>
      </c>
      <c r="H19" s="79">
        <v>9</v>
      </c>
      <c r="I19" s="270">
        <f t="shared" si="0"/>
        <v>3483</v>
      </c>
      <c r="J19" s="79">
        <v>9</v>
      </c>
      <c r="K19" s="270">
        <f>J19*E19</f>
        <v>3483</v>
      </c>
    </row>
    <row r="20" spans="1:11" ht="15">
      <c r="A20" s="790"/>
      <c r="B20" s="302" t="s">
        <v>1327</v>
      </c>
      <c r="C20" s="301">
        <v>7130860077</v>
      </c>
      <c r="D20" s="265" t="s">
        <v>32</v>
      </c>
      <c r="E20" s="270">
        <f>VLOOKUP(C20,'SOR RATE'!A:D,4,0)/1000</f>
        <v>61.6</v>
      </c>
      <c r="F20" s="265">
        <v>54</v>
      </c>
      <c r="G20" s="270">
        <f>F20*E20</f>
        <v>3326.4</v>
      </c>
      <c r="H20" s="265">
        <v>54</v>
      </c>
      <c r="I20" s="270">
        <f t="shared" si="0"/>
        <v>3326.4</v>
      </c>
      <c r="J20" s="265">
        <v>54</v>
      </c>
      <c r="K20" s="270">
        <f>J20*E20</f>
        <v>3326.4</v>
      </c>
    </row>
    <row r="21" spans="1:11" ht="15">
      <c r="A21" s="790"/>
      <c r="B21" s="302" t="s">
        <v>782</v>
      </c>
      <c r="C21" s="301">
        <v>7130810026</v>
      </c>
      <c r="D21" s="265" t="s">
        <v>26</v>
      </c>
      <c r="E21" s="270">
        <f>VLOOKUP(C21,'SOR RATE'!A:D,4,0)</f>
        <v>142</v>
      </c>
      <c r="F21" s="265">
        <v>9</v>
      </c>
      <c r="G21" s="270">
        <f>F21*E21</f>
        <v>1278</v>
      </c>
      <c r="H21" s="265">
        <v>9</v>
      </c>
      <c r="I21" s="270">
        <f t="shared" si="0"/>
        <v>1278</v>
      </c>
      <c r="J21" s="265">
        <v>9</v>
      </c>
      <c r="K21" s="270">
        <f>J21*E21</f>
        <v>1278</v>
      </c>
    </row>
    <row r="22" spans="1:11" ht="15">
      <c r="A22" s="791"/>
      <c r="B22" s="302" t="s">
        <v>1328</v>
      </c>
      <c r="C22" s="301">
        <v>7130820117</v>
      </c>
      <c r="D22" s="265" t="s">
        <v>26</v>
      </c>
      <c r="E22" s="270">
        <f>VLOOKUP(C22,'SOR RATE'!A:D,4,0)</f>
        <v>9</v>
      </c>
      <c r="F22" s="265">
        <v>9</v>
      </c>
      <c r="G22" s="270">
        <f>F22*E22</f>
        <v>81</v>
      </c>
      <c r="H22" s="265">
        <v>9</v>
      </c>
      <c r="I22" s="270">
        <f t="shared" si="0"/>
        <v>81</v>
      </c>
      <c r="J22" s="265">
        <v>9</v>
      </c>
      <c r="K22" s="270">
        <f>J22*E22</f>
        <v>81</v>
      </c>
    </row>
    <row r="23" spans="1:11" ht="45">
      <c r="A23" s="789">
        <v>8</v>
      </c>
      <c r="B23" s="357" t="s">
        <v>408</v>
      </c>
      <c r="D23" s="72" t="s">
        <v>1331</v>
      </c>
      <c r="E23" s="270"/>
      <c r="F23" s="79"/>
      <c r="G23" s="270"/>
      <c r="H23" s="79"/>
      <c r="I23" s="270"/>
      <c r="J23" s="79"/>
      <c r="K23" s="270"/>
    </row>
    <row r="24" spans="1:11" ht="19.5" customHeight="1">
      <c r="A24" s="791"/>
      <c r="B24" s="302" t="s">
        <v>197</v>
      </c>
      <c r="C24" s="301">
        <v>7130200401</v>
      </c>
      <c r="D24" s="79" t="s">
        <v>32</v>
      </c>
      <c r="E24" s="270">
        <f>VLOOKUP(C24,'SOR RATE'!A:D,4,0)/50</f>
        <v>5.36</v>
      </c>
      <c r="F24" s="79">
        <v>551.2</v>
      </c>
      <c r="G24" s="270">
        <f>F24*E24</f>
        <v>2954.4320000000002</v>
      </c>
      <c r="H24" s="79">
        <v>551.2</v>
      </c>
      <c r="I24" s="270">
        <f>H24*E24</f>
        <v>2954.4320000000002</v>
      </c>
      <c r="J24" s="79">
        <v>551.2</v>
      </c>
      <c r="K24" s="270">
        <f>J24*E24</f>
        <v>2954.4320000000002</v>
      </c>
    </row>
    <row r="25" spans="1:11" ht="30">
      <c r="A25" s="310">
        <v>9</v>
      </c>
      <c r="B25" s="82" t="s">
        <v>1334</v>
      </c>
      <c r="C25" s="301">
        <v>7130870013</v>
      </c>
      <c r="D25" s="310" t="s">
        <v>26</v>
      </c>
      <c r="E25" s="270">
        <f>VLOOKUP(C25,'SOR RATE'!A:D,4,0)</f>
        <v>100</v>
      </c>
      <c r="F25" s="310">
        <v>5</v>
      </c>
      <c r="G25" s="270">
        <f>F25*E25</f>
        <v>500</v>
      </c>
      <c r="H25" s="310">
        <v>5</v>
      </c>
      <c r="I25" s="270">
        <f>H25*E25</f>
        <v>500</v>
      </c>
      <c r="J25" s="310">
        <v>5</v>
      </c>
      <c r="K25" s="270">
        <f>J25*E25</f>
        <v>500</v>
      </c>
    </row>
    <row r="26" spans="1:11" ht="15.75" customHeight="1">
      <c r="A26" s="79">
        <v>10</v>
      </c>
      <c r="B26" s="302" t="s">
        <v>1329</v>
      </c>
      <c r="C26" s="301">
        <v>7130820018</v>
      </c>
      <c r="D26" s="79" t="s">
        <v>1009</v>
      </c>
      <c r="E26" s="270">
        <f>VLOOKUP(C26,'SOR RATE'!A:D,4,0)</f>
        <v>3</v>
      </c>
      <c r="F26" s="79">
        <v>44</v>
      </c>
      <c r="G26" s="270">
        <f>F26*E26</f>
        <v>132</v>
      </c>
      <c r="H26" s="79">
        <v>44</v>
      </c>
      <c r="I26" s="270">
        <f>H26*E26</f>
        <v>132</v>
      </c>
      <c r="J26" s="79">
        <v>44</v>
      </c>
      <c r="K26" s="270">
        <f>J26*E26</f>
        <v>132</v>
      </c>
    </row>
    <row r="27" spans="1:11" ht="15">
      <c r="A27" s="789">
        <v>11</v>
      </c>
      <c r="B27" s="302" t="s">
        <v>33</v>
      </c>
      <c r="C27" s="301"/>
      <c r="D27" s="79" t="s">
        <v>32</v>
      </c>
      <c r="E27" s="270"/>
      <c r="F27" s="79">
        <v>35</v>
      </c>
      <c r="G27" s="270"/>
      <c r="H27" s="79">
        <v>35</v>
      </c>
      <c r="I27" s="270"/>
      <c r="J27" s="79">
        <v>35</v>
      </c>
      <c r="K27" s="270"/>
    </row>
    <row r="28" spans="1:11" ht="18" customHeight="1">
      <c r="A28" s="790"/>
      <c r="B28" s="358" t="s">
        <v>1333</v>
      </c>
      <c r="C28" s="301">
        <v>7130620573</v>
      </c>
      <c r="D28" s="79" t="s">
        <v>32</v>
      </c>
      <c r="E28" s="270">
        <f>VLOOKUP(C28,'SOR RATE'!A:D,4,0)</f>
        <v>64</v>
      </c>
      <c r="F28" s="79">
        <v>10</v>
      </c>
      <c r="G28" s="270">
        <f aca="true" t="shared" si="1" ref="G28:G34">F28*E28</f>
        <v>640</v>
      </c>
      <c r="H28" s="79">
        <v>10</v>
      </c>
      <c r="I28" s="270">
        <f aca="true" t="shared" si="2" ref="I28:I34">H28*E28</f>
        <v>640</v>
      </c>
      <c r="J28" s="79">
        <v>10</v>
      </c>
      <c r="K28" s="270">
        <f aca="true" t="shared" si="3" ref="K28:K34">J28*E28</f>
        <v>640</v>
      </c>
    </row>
    <row r="29" spans="1:11" ht="15.75" customHeight="1">
      <c r="A29" s="790"/>
      <c r="B29" s="358" t="s">
        <v>1017</v>
      </c>
      <c r="C29" s="301">
        <v>7130620609</v>
      </c>
      <c r="D29" s="79" t="s">
        <v>32</v>
      </c>
      <c r="E29" s="270">
        <f>VLOOKUP(C29,'SOR RATE'!A:D,4,0)</f>
        <v>64</v>
      </c>
      <c r="F29" s="79">
        <v>5</v>
      </c>
      <c r="G29" s="270">
        <f t="shared" si="1"/>
        <v>320</v>
      </c>
      <c r="H29" s="79">
        <v>5</v>
      </c>
      <c r="I29" s="270">
        <f t="shared" si="2"/>
        <v>320</v>
      </c>
      <c r="J29" s="79">
        <v>5</v>
      </c>
      <c r="K29" s="270">
        <f t="shared" si="3"/>
        <v>320</v>
      </c>
    </row>
    <row r="30" spans="1:11" ht="17.25" customHeight="1">
      <c r="A30" s="791"/>
      <c r="B30" s="358" t="s">
        <v>194</v>
      </c>
      <c r="C30" s="301">
        <v>7130620625</v>
      </c>
      <c r="D30" s="79" t="s">
        <v>32</v>
      </c>
      <c r="E30" s="270">
        <f>VLOOKUP(C30,'SOR RATE'!A:D,4,0)</f>
        <v>62</v>
      </c>
      <c r="F30" s="79">
        <v>20</v>
      </c>
      <c r="G30" s="270">
        <f t="shared" si="1"/>
        <v>1240</v>
      </c>
      <c r="H30" s="79">
        <v>20</v>
      </c>
      <c r="I30" s="270">
        <f t="shared" si="2"/>
        <v>1240</v>
      </c>
      <c r="J30" s="79">
        <v>20</v>
      </c>
      <c r="K30" s="270">
        <f t="shared" si="3"/>
        <v>1240</v>
      </c>
    </row>
    <row r="31" spans="1:11" ht="15">
      <c r="A31" s="79">
        <v>12</v>
      </c>
      <c r="B31" s="302" t="s">
        <v>779</v>
      </c>
      <c r="C31" s="301">
        <v>7130830006</v>
      </c>
      <c r="D31" s="79" t="s">
        <v>32</v>
      </c>
      <c r="E31" s="270">
        <f>VLOOKUP(C31,'SOR RATE'!A:D,4,0)</f>
        <v>139</v>
      </c>
      <c r="F31" s="79">
        <v>3.5</v>
      </c>
      <c r="G31" s="270">
        <f t="shared" si="1"/>
        <v>486.5</v>
      </c>
      <c r="H31" s="79">
        <v>3.5</v>
      </c>
      <c r="I31" s="270">
        <f t="shared" si="2"/>
        <v>486.5</v>
      </c>
      <c r="J31" s="79">
        <v>3.5</v>
      </c>
      <c r="K31" s="270">
        <f t="shared" si="3"/>
        <v>486.5</v>
      </c>
    </row>
    <row r="32" spans="1:11" ht="15.75" customHeight="1">
      <c r="A32" s="79">
        <v>13</v>
      </c>
      <c r="B32" s="302" t="s">
        <v>31</v>
      </c>
      <c r="C32" s="301">
        <v>7130210809</v>
      </c>
      <c r="D32" s="79" t="s">
        <v>30</v>
      </c>
      <c r="E32" s="270">
        <f>VLOOKUP(C32,'SOR RATE'!A:D,4,0)</f>
        <v>290</v>
      </c>
      <c r="F32" s="79">
        <v>2</v>
      </c>
      <c r="G32" s="270">
        <f t="shared" si="1"/>
        <v>580</v>
      </c>
      <c r="H32" s="79">
        <v>2</v>
      </c>
      <c r="I32" s="270">
        <f t="shared" si="2"/>
        <v>580</v>
      </c>
      <c r="J32" s="79">
        <v>2</v>
      </c>
      <c r="K32" s="270">
        <f t="shared" si="3"/>
        <v>580</v>
      </c>
    </row>
    <row r="33" spans="1:11" ht="15">
      <c r="A33" s="79">
        <v>14</v>
      </c>
      <c r="B33" s="302" t="s">
        <v>609</v>
      </c>
      <c r="C33" s="301">
        <v>7130211158</v>
      </c>
      <c r="D33" s="79" t="s">
        <v>30</v>
      </c>
      <c r="E33" s="270">
        <f>VLOOKUP(C33,'SOR RATE'!A:D,4,0)</f>
        <v>130</v>
      </c>
      <c r="F33" s="79">
        <v>2</v>
      </c>
      <c r="G33" s="270">
        <f t="shared" si="1"/>
        <v>260</v>
      </c>
      <c r="H33" s="79">
        <v>2</v>
      </c>
      <c r="I33" s="270">
        <f t="shared" si="2"/>
        <v>260</v>
      </c>
      <c r="J33" s="79">
        <v>2</v>
      </c>
      <c r="K33" s="270">
        <f t="shared" si="3"/>
        <v>260</v>
      </c>
    </row>
    <row r="34" spans="1:11" ht="15">
      <c r="A34" s="79">
        <v>15</v>
      </c>
      <c r="B34" s="302" t="s">
        <v>409</v>
      </c>
      <c r="C34" s="301">
        <v>7130870043</v>
      </c>
      <c r="D34" s="79" t="s">
        <v>32</v>
      </c>
      <c r="E34" s="270">
        <f>VLOOKUP(C34,'SOR RATE'!A:D,4,0)/1000</f>
        <v>55.094</v>
      </c>
      <c r="F34" s="79">
        <v>6</v>
      </c>
      <c r="G34" s="270">
        <f t="shared" si="1"/>
        <v>330.564</v>
      </c>
      <c r="H34" s="79">
        <v>6</v>
      </c>
      <c r="I34" s="270">
        <f t="shared" si="2"/>
        <v>330.564</v>
      </c>
      <c r="J34" s="79">
        <v>6</v>
      </c>
      <c r="K34" s="270">
        <f t="shared" si="3"/>
        <v>330.564</v>
      </c>
    </row>
    <row r="35" spans="1:13" ht="19.5" customHeight="1">
      <c r="A35" s="12">
        <v>16</v>
      </c>
      <c r="B35" s="75" t="s">
        <v>937</v>
      </c>
      <c r="C35" s="300"/>
      <c r="D35" s="12"/>
      <c r="E35" s="12"/>
      <c r="F35" s="12"/>
      <c r="G35" s="80">
        <f>SUM(G10:G34)</f>
        <v>179018.916</v>
      </c>
      <c r="H35" s="80"/>
      <c r="I35" s="80">
        <f>SUM(I10:I34)</f>
        <v>138036.24599999998</v>
      </c>
      <c r="J35" s="80"/>
      <c r="K35" s="80">
        <f>SUM(K10:K34)</f>
        <v>115544.136</v>
      </c>
      <c r="L35" s="61"/>
      <c r="M35" s="5"/>
    </row>
    <row r="36" spans="1:13" ht="21" customHeight="1">
      <c r="A36" s="310">
        <v>17</v>
      </c>
      <c r="B36" s="74" t="s">
        <v>936</v>
      </c>
      <c r="C36" s="275"/>
      <c r="D36" s="276"/>
      <c r="E36" s="277">
        <v>0.09</v>
      </c>
      <c r="F36" s="277"/>
      <c r="G36" s="270">
        <f>G35*E36</f>
        <v>16111.70244</v>
      </c>
      <c r="H36" s="270"/>
      <c r="I36" s="270">
        <f>I35*E36</f>
        <v>12423.262139999999</v>
      </c>
      <c r="J36" s="270"/>
      <c r="K36" s="270">
        <f>K35*E36</f>
        <v>10398.97224</v>
      </c>
      <c r="L36" s="61"/>
      <c r="M36" s="58"/>
    </row>
    <row r="37" spans="1:11" ht="35.25" customHeight="1">
      <c r="A37" s="72">
        <v>18</v>
      </c>
      <c r="B37" s="78" t="s">
        <v>410</v>
      </c>
      <c r="C37" s="9"/>
      <c r="D37" s="72" t="s">
        <v>26</v>
      </c>
      <c r="E37" s="3">
        <f>97*1.11*1.086275*1.1112*1.0685</f>
        <v>138.86770458726812</v>
      </c>
      <c r="F37" s="72">
        <v>17</v>
      </c>
      <c r="G37" s="3">
        <f>F37*E37</f>
        <v>2360.750977983558</v>
      </c>
      <c r="H37" s="72">
        <v>17</v>
      </c>
      <c r="I37" s="3">
        <f>H37*E37</f>
        <v>2360.750977983558</v>
      </c>
      <c r="J37" s="72">
        <v>17</v>
      </c>
      <c r="K37" s="3">
        <f>J37*E37</f>
        <v>2360.750977983558</v>
      </c>
    </row>
    <row r="38" spans="1:15" s="1" customFormat="1" ht="33.75" customHeight="1">
      <c r="A38" s="281" t="s">
        <v>1204</v>
      </c>
      <c r="B38" s="271" t="s">
        <v>310</v>
      </c>
      <c r="C38" s="278"/>
      <c r="D38" s="281" t="s">
        <v>28</v>
      </c>
      <c r="E38" s="111">
        <f>1664*1.27*1.0891*1.086275*1.1112*1.0685</f>
        <v>2968.460981603261</v>
      </c>
      <c r="F38" s="111">
        <v>2.65</v>
      </c>
      <c r="G38" s="3">
        <f>F38*E38</f>
        <v>7866.421601248642</v>
      </c>
      <c r="H38" s="111">
        <v>2.65</v>
      </c>
      <c r="I38" s="3">
        <f>H38*E38</f>
        <v>7866.421601248642</v>
      </c>
      <c r="J38" s="111">
        <v>2.65</v>
      </c>
      <c r="K38" s="3">
        <f>J38*E38</f>
        <v>7866.421601248642</v>
      </c>
      <c r="L38" s="359"/>
      <c r="M38" s="359"/>
      <c r="N38" s="360"/>
      <c r="O38" s="360"/>
    </row>
    <row r="39" spans="1:12" ht="23.25" customHeight="1">
      <c r="A39" s="72">
        <v>20</v>
      </c>
      <c r="B39" s="78" t="s">
        <v>411</v>
      </c>
      <c r="C39" s="9"/>
      <c r="D39" s="72"/>
      <c r="E39" s="3"/>
      <c r="F39" s="72"/>
      <c r="G39" s="3">
        <v>35623.42</v>
      </c>
      <c r="H39" s="72"/>
      <c r="I39" s="3">
        <f>+G39</f>
        <v>35623.42</v>
      </c>
      <c r="J39" s="72"/>
      <c r="K39" s="3">
        <f>+I39</f>
        <v>35623.42</v>
      </c>
      <c r="L39" s="336"/>
    </row>
    <row r="40" spans="1:11" ht="65.25" customHeight="1">
      <c r="A40" s="72">
        <v>21</v>
      </c>
      <c r="B40" s="78" t="s">
        <v>412</v>
      </c>
      <c r="C40" s="9"/>
      <c r="D40" s="72"/>
      <c r="E40" s="3"/>
      <c r="F40" s="72"/>
      <c r="G40" s="3">
        <f>1.1*1.1*4662*1.2*1.1*1.1797*1.1402*0.9368</f>
        <v>9382.76996257647</v>
      </c>
      <c r="H40" s="72"/>
      <c r="I40" s="3">
        <f>1.1*1.1*4662*1.2*1.1*1.1797*1.1402*0.9368</f>
        <v>9382.76996257647</v>
      </c>
      <c r="J40" s="72"/>
      <c r="K40" s="3">
        <f>1.1*1.1*4662*1.2*1.1*1.1797*1.1402*0.9368</f>
        <v>9382.76996257647</v>
      </c>
    </row>
    <row r="41" spans="1:12" ht="24.75" customHeight="1">
      <c r="A41" s="10">
        <v>22</v>
      </c>
      <c r="B41" s="75" t="s">
        <v>938</v>
      </c>
      <c r="C41" s="9"/>
      <c r="D41" s="72"/>
      <c r="E41" s="3"/>
      <c r="F41" s="72"/>
      <c r="G41" s="4">
        <f>G35+G36+G37+G38+G39+G40</f>
        <v>250363.98098180865</v>
      </c>
      <c r="H41" s="10"/>
      <c r="I41" s="4">
        <f>I35+I36+I37+I38+I39+I40</f>
        <v>205692.87068180865</v>
      </c>
      <c r="J41" s="10"/>
      <c r="K41" s="4">
        <f>K35+K36+K37+K38+K39+K40</f>
        <v>181176.4707818087</v>
      </c>
      <c r="L41" s="62"/>
    </row>
    <row r="42" spans="1:12" ht="51.75" customHeight="1">
      <c r="A42" s="72">
        <v>23</v>
      </c>
      <c r="B42" s="74" t="s">
        <v>939</v>
      </c>
      <c r="C42" s="9"/>
      <c r="D42" s="72"/>
      <c r="E42" s="3">
        <v>0.11</v>
      </c>
      <c r="F42" s="72"/>
      <c r="G42" s="3">
        <f>G35*E42</f>
        <v>19692.08076</v>
      </c>
      <c r="H42" s="72"/>
      <c r="I42" s="3">
        <f>I35*E42</f>
        <v>15183.987059999998</v>
      </c>
      <c r="J42" s="72"/>
      <c r="K42" s="3">
        <f>K35*E42</f>
        <v>12709.85496</v>
      </c>
      <c r="L42" s="62"/>
    </row>
    <row r="43" spans="1:11" ht="31.5" customHeight="1">
      <c r="A43" s="72">
        <v>24</v>
      </c>
      <c r="B43" s="78" t="s">
        <v>1338</v>
      </c>
      <c r="C43" s="9"/>
      <c r="D43" s="72"/>
      <c r="E43" s="3"/>
      <c r="F43" s="72"/>
      <c r="G43" s="3">
        <f>G41+G42</f>
        <v>270056.06174180866</v>
      </c>
      <c r="H43" s="3"/>
      <c r="I43" s="3">
        <f>I41+I42</f>
        <v>220876.85774180864</v>
      </c>
      <c r="J43" s="3"/>
      <c r="K43" s="3">
        <f>K41+K42</f>
        <v>193886.3257418087</v>
      </c>
    </row>
    <row r="44" spans="1:11" ht="34.5" customHeight="1">
      <c r="A44" s="10">
        <v>25</v>
      </c>
      <c r="B44" s="83" t="s">
        <v>1339</v>
      </c>
      <c r="C44" s="33"/>
      <c r="D44" s="10"/>
      <c r="E44" s="4"/>
      <c r="F44" s="10"/>
      <c r="G44" s="80">
        <f>ROUND(G43,0)</f>
        <v>270056</v>
      </c>
      <c r="H44" s="10"/>
      <c r="I44" s="80">
        <f>ROUND(I43,0)</f>
        <v>220877</v>
      </c>
      <c r="J44" s="10"/>
      <c r="K44" s="80">
        <f>ROUND(K43,0)</f>
        <v>193886</v>
      </c>
    </row>
    <row r="46" spans="1:7" ht="15.75">
      <c r="A46" s="280"/>
      <c r="B46" s="361" t="s">
        <v>1346</v>
      </c>
      <c r="C46" s="362"/>
      <c r="D46" s="212"/>
      <c r="E46" s="212"/>
      <c r="F46" s="212"/>
      <c r="G46" s="213"/>
    </row>
    <row r="47" spans="1:7" ht="12.75">
      <c r="A47" s="363"/>
      <c r="D47" s="212"/>
      <c r="E47" s="212"/>
      <c r="F47" s="212"/>
      <c r="G47" s="212"/>
    </row>
    <row r="64" spans="9:11" ht="15">
      <c r="I64" s="723"/>
      <c r="J64" s="723"/>
      <c r="K64" s="723"/>
    </row>
    <row r="65" spans="9:11" ht="15">
      <c r="I65" s="723"/>
      <c r="J65" s="723"/>
      <c r="K65" s="723"/>
    </row>
    <row r="66" spans="9:11" ht="15">
      <c r="I66" s="723"/>
      <c r="J66" s="723"/>
      <c r="K66" s="723"/>
    </row>
    <row r="67" spans="9:11" ht="15">
      <c r="I67" s="723"/>
      <c r="J67" s="723"/>
      <c r="K67" s="723"/>
    </row>
    <row r="68" spans="9:11" ht="15">
      <c r="I68" s="723"/>
      <c r="J68" s="723"/>
      <c r="K68" s="723"/>
    </row>
    <row r="69" spans="9:11" ht="15">
      <c r="I69" s="723"/>
      <c r="J69" s="723"/>
      <c r="K69" s="723"/>
    </row>
    <row r="70" spans="9:11" ht="15">
      <c r="I70" s="723"/>
      <c r="J70" s="723"/>
      <c r="K70" s="723"/>
    </row>
    <row r="71" spans="9:11" ht="15">
      <c r="I71" s="723"/>
      <c r="J71" s="723"/>
      <c r="K71" s="723"/>
    </row>
    <row r="72" spans="9:11" ht="15">
      <c r="I72" s="723"/>
      <c r="J72" s="723"/>
      <c r="K72" s="723"/>
    </row>
    <row r="73" spans="9:11" ht="15">
      <c r="I73" s="723"/>
      <c r="J73" s="723"/>
      <c r="K73" s="723"/>
    </row>
    <row r="74" spans="9:11" ht="15">
      <c r="I74" s="723"/>
      <c r="J74" s="723"/>
      <c r="K74" s="723"/>
    </row>
    <row r="75" spans="9:11" ht="15">
      <c r="I75" s="723"/>
      <c r="J75" s="723"/>
      <c r="K75" s="723"/>
    </row>
    <row r="76" spans="9:11" ht="15">
      <c r="I76" s="723"/>
      <c r="J76" s="723"/>
      <c r="K76" s="723"/>
    </row>
    <row r="77" spans="9:11" ht="15.75">
      <c r="I77" s="725"/>
      <c r="J77" s="725"/>
      <c r="K77" s="725"/>
    </row>
    <row r="78" spans="9:12" ht="15">
      <c r="I78" s="6"/>
      <c r="J78" s="723"/>
      <c r="K78" s="723"/>
      <c r="L78" s="723"/>
    </row>
    <row r="79" spans="9:12" ht="15">
      <c r="I79" s="6"/>
      <c r="J79" s="723"/>
      <c r="K79" s="723"/>
      <c r="L79" s="723"/>
    </row>
    <row r="80" spans="9:12" ht="15">
      <c r="I80" s="6"/>
      <c r="J80" s="723"/>
      <c r="K80" s="723"/>
      <c r="L80" s="723"/>
    </row>
    <row r="81" spans="9:12" ht="15">
      <c r="I81" s="6"/>
      <c r="J81" s="723"/>
      <c r="K81" s="723"/>
      <c r="L81" s="723"/>
    </row>
    <row r="82" spans="9:12" ht="15">
      <c r="I82" s="6"/>
      <c r="J82" s="723"/>
      <c r="K82" s="723"/>
      <c r="L82" s="723"/>
    </row>
    <row r="83" spans="9:12" ht="15">
      <c r="I83" s="6"/>
      <c r="J83" s="723"/>
      <c r="K83" s="723"/>
      <c r="L83" s="723"/>
    </row>
    <row r="84" spans="9:12" ht="15">
      <c r="I84" s="6"/>
      <c r="J84" s="723"/>
      <c r="K84" s="723"/>
      <c r="L84" s="723"/>
    </row>
    <row r="85" spans="9:12" ht="15">
      <c r="I85" s="6"/>
      <c r="J85" s="723"/>
      <c r="K85" s="723"/>
      <c r="L85" s="723"/>
    </row>
    <row r="86" spans="9:12" ht="15">
      <c r="I86" s="6"/>
      <c r="J86" s="723"/>
      <c r="K86" s="723"/>
      <c r="L86" s="723"/>
    </row>
    <row r="87" spans="9:12" ht="15">
      <c r="I87" s="6"/>
      <c r="J87" s="723"/>
      <c r="K87" s="723"/>
      <c r="L87" s="723"/>
    </row>
    <row r="88" spans="9:12" ht="15">
      <c r="I88" s="6"/>
      <c r="J88" s="723"/>
      <c r="K88" s="723"/>
      <c r="L88" s="723"/>
    </row>
    <row r="89" spans="9:12" ht="15">
      <c r="I89" s="6"/>
      <c r="J89" s="723"/>
      <c r="K89" s="723"/>
      <c r="L89" s="723"/>
    </row>
    <row r="90" spans="9:12" ht="15">
      <c r="I90" s="6"/>
      <c r="J90" s="723"/>
      <c r="K90" s="723"/>
      <c r="L90" s="723"/>
    </row>
    <row r="91" spans="9:12" ht="15">
      <c r="I91" s="6"/>
      <c r="J91" s="723"/>
      <c r="K91" s="723"/>
      <c r="L91" s="723"/>
    </row>
    <row r="92" spans="9:12" ht="15">
      <c r="I92" s="6"/>
      <c r="J92" s="723"/>
      <c r="K92" s="723"/>
      <c r="L92" s="723"/>
    </row>
    <row r="93" spans="9:12" ht="15">
      <c r="I93" s="6"/>
      <c r="J93" s="723"/>
      <c r="K93" s="723"/>
      <c r="L93" s="723"/>
    </row>
    <row r="94" spans="9:12" ht="15">
      <c r="I94" s="6"/>
      <c r="J94" s="723"/>
      <c r="K94" s="723"/>
      <c r="L94" s="723"/>
    </row>
    <row r="95" spans="9:12" ht="15">
      <c r="I95" s="6"/>
      <c r="J95" s="723"/>
      <c r="K95" s="723"/>
      <c r="L95" s="723"/>
    </row>
    <row r="96" spans="9:12" ht="15">
      <c r="I96" s="6"/>
      <c r="J96" s="723"/>
      <c r="K96" s="723"/>
      <c r="L96" s="723"/>
    </row>
    <row r="97" spans="10:12" ht="12.75">
      <c r="J97" s="724"/>
      <c r="K97" s="724"/>
      <c r="L97" s="724"/>
    </row>
    <row r="98" spans="10:12" ht="12.75">
      <c r="J98" s="724"/>
      <c r="K98" s="724"/>
      <c r="L98" s="724"/>
    </row>
    <row r="99" spans="10:12" ht="12.75">
      <c r="J99" s="724"/>
      <c r="K99" s="724"/>
      <c r="L99" s="724"/>
    </row>
    <row r="100" spans="10:12" ht="12.75">
      <c r="J100" s="724"/>
      <c r="K100" s="724"/>
      <c r="L100" s="724"/>
    </row>
    <row r="101" spans="10:12" ht="12.75">
      <c r="J101" s="724"/>
      <c r="K101" s="724"/>
      <c r="L101" s="724"/>
    </row>
    <row r="102" spans="10:12" ht="12.75">
      <c r="J102" s="724"/>
      <c r="K102" s="724"/>
      <c r="L102" s="724"/>
    </row>
    <row r="103" spans="10:12" ht="12.75">
      <c r="J103" s="724"/>
      <c r="K103" s="724"/>
      <c r="L103" s="724"/>
    </row>
    <row r="104" spans="10:12" ht="12.75">
      <c r="J104" s="724"/>
      <c r="K104" s="724"/>
      <c r="L104" s="724"/>
    </row>
    <row r="105" spans="10:12" ht="12.75">
      <c r="J105" s="724"/>
      <c r="K105" s="724"/>
      <c r="L105" s="724"/>
    </row>
    <row r="106" spans="10:12" ht="12.75">
      <c r="J106" s="724"/>
      <c r="K106" s="724"/>
      <c r="L106" s="724"/>
    </row>
    <row r="107" spans="10:12" ht="12.75">
      <c r="J107" s="724"/>
      <c r="K107" s="724"/>
      <c r="L107" s="724"/>
    </row>
    <row r="108" spans="10:12" ht="12.75">
      <c r="J108" s="724"/>
      <c r="K108" s="724"/>
      <c r="L108" s="724"/>
    </row>
    <row r="109" spans="10:12" ht="12.75">
      <c r="J109" s="724"/>
      <c r="K109" s="724"/>
      <c r="L109" s="724"/>
    </row>
    <row r="110" spans="10:12" ht="12.75">
      <c r="J110" s="724"/>
      <c r="K110" s="724"/>
      <c r="L110" s="724"/>
    </row>
    <row r="111" spans="10:12" ht="12.75">
      <c r="J111" s="724"/>
      <c r="K111" s="724"/>
      <c r="L111" s="724"/>
    </row>
  </sheetData>
  <sheetProtection/>
  <mergeCells count="14">
    <mergeCell ref="J7:K7"/>
    <mergeCell ref="A15:A18"/>
    <mergeCell ref="A19:A22"/>
    <mergeCell ref="A23:A24"/>
    <mergeCell ref="A27:A30"/>
    <mergeCell ref="D1:H1"/>
    <mergeCell ref="B3:I3"/>
    <mergeCell ref="A7:A8"/>
    <mergeCell ref="B7:B8"/>
    <mergeCell ref="C7:C8"/>
    <mergeCell ref="D7:D8"/>
    <mergeCell ref="E7:E8"/>
    <mergeCell ref="F7:G7"/>
    <mergeCell ref="H7:I7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67" right="0.16" top="0.7" bottom="0.23" header="0.41" footer="0.16"/>
  <pageSetup fitToHeight="2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49"/>
  <sheetViews>
    <sheetView zoomScale="85" zoomScaleNormal="85" zoomScalePageLayoutView="0" workbookViewId="0" topLeftCell="A7">
      <pane xSplit="4" ySplit="5" topLeftCell="E12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A7" sqref="A7:A10"/>
    </sheetView>
  </sheetViews>
  <sheetFormatPr defaultColWidth="9.140625" defaultRowHeight="12.75"/>
  <cols>
    <col min="1" max="1" width="5.57421875" style="23" customWidth="1"/>
    <col min="2" max="2" width="41.7109375" style="2" customWidth="1"/>
    <col min="3" max="3" width="15.57421875" style="2" customWidth="1"/>
    <col min="4" max="4" width="6.421875" style="2" customWidth="1"/>
    <col min="5" max="5" width="10.28125" style="2" bestFit="1" customWidth="1"/>
    <col min="6" max="6" width="7.8515625" style="2" bestFit="1" customWidth="1"/>
    <col min="7" max="7" width="18.8515625" style="2" customWidth="1"/>
    <col min="8" max="8" width="7.8515625" style="2" bestFit="1" customWidth="1"/>
    <col min="9" max="9" width="13.8515625" style="2" bestFit="1" customWidth="1"/>
    <col min="10" max="10" width="7.8515625" style="2" bestFit="1" customWidth="1"/>
    <col min="11" max="11" width="13.8515625" style="2" bestFit="1" customWidth="1"/>
    <col min="12" max="12" width="15.421875" style="2" customWidth="1"/>
    <col min="13" max="13" width="12.8515625" style="2" customWidth="1"/>
    <col min="14" max="16384" width="9.140625" style="2" customWidth="1"/>
  </cols>
  <sheetData>
    <row r="1" spans="2:11" ht="18">
      <c r="B1" s="35"/>
      <c r="C1" s="780" t="s">
        <v>413</v>
      </c>
      <c r="D1" s="780"/>
      <c r="E1" s="780"/>
      <c r="F1" s="780"/>
      <c r="G1" s="780"/>
      <c r="H1" s="780"/>
      <c r="I1" s="35"/>
      <c r="J1" s="35"/>
      <c r="K1" s="35"/>
    </row>
    <row r="2" spans="1:11" ht="18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ht="32.25" customHeight="1">
      <c r="B3" s="781" t="s">
        <v>414</v>
      </c>
      <c r="C3" s="781"/>
      <c r="D3" s="781"/>
      <c r="E3" s="781"/>
      <c r="F3" s="781"/>
      <c r="G3" s="781"/>
      <c r="H3" s="781"/>
      <c r="I3" s="781"/>
      <c r="J3" s="11"/>
      <c r="K3" s="11"/>
    </row>
    <row r="4" spans="1:11" ht="15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>
      <c r="A5" s="349"/>
      <c r="B5" s="214"/>
      <c r="C5" s="214"/>
      <c r="D5" s="214"/>
      <c r="E5" s="214"/>
      <c r="F5" s="214"/>
      <c r="G5" s="214"/>
      <c r="H5" s="214"/>
      <c r="I5" s="214"/>
      <c r="J5" s="214"/>
      <c r="K5" s="718" t="s">
        <v>1003</v>
      </c>
    </row>
    <row r="6" spans="1:11" ht="15.75">
      <c r="A6" s="349"/>
      <c r="B6" s="214"/>
      <c r="C6" s="214"/>
      <c r="D6" s="214"/>
      <c r="E6" s="214"/>
      <c r="F6" s="214"/>
      <c r="G6" s="214"/>
      <c r="H6" s="214"/>
      <c r="I6" s="214"/>
      <c r="J6" s="214"/>
      <c r="K6" s="20"/>
    </row>
    <row r="7" spans="1:11" ht="33.75" customHeight="1">
      <c r="A7" s="794" t="s">
        <v>191</v>
      </c>
      <c r="B7" s="797" t="s">
        <v>23</v>
      </c>
      <c r="C7" s="793" t="s">
        <v>1016</v>
      </c>
      <c r="D7" s="797" t="s">
        <v>24</v>
      </c>
      <c r="E7" s="792" t="s">
        <v>1010</v>
      </c>
      <c r="F7" s="792" t="s">
        <v>415</v>
      </c>
      <c r="G7" s="792"/>
      <c r="H7" s="792" t="s">
        <v>1315</v>
      </c>
      <c r="I7" s="792"/>
      <c r="J7" s="792" t="s">
        <v>403</v>
      </c>
      <c r="K7" s="792"/>
    </row>
    <row r="8" spans="1:11" ht="34.5" customHeight="1">
      <c r="A8" s="795"/>
      <c r="B8" s="797"/>
      <c r="C8" s="793"/>
      <c r="D8" s="797"/>
      <c r="E8" s="792"/>
      <c r="F8" s="792"/>
      <c r="G8" s="792"/>
      <c r="H8" s="792"/>
      <c r="I8" s="792"/>
      <c r="J8" s="792"/>
      <c r="K8" s="792"/>
    </row>
    <row r="9" spans="1:11" ht="12.75">
      <c r="A9" s="795"/>
      <c r="B9" s="797"/>
      <c r="C9" s="793"/>
      <c r="D9" s="797"/>
      <c r="E9" s="792"/>
      <c r="F9" s="792"/>
      <c r="G9" s="792"/>
      <c r="H9" s="792"/>
      <c r="I9" s="792"/>
      <c r="J9" s="792"/>
      <c r="K9" s="792"/>
    </row>
    <row r="10" spans="1:11" ht="18.75" customHeight="1">
      <c r="A10" s="796"/>
      <c r="B10" s="797"/>
      <c r="C10" s="793"/>
      <c r="D10" s="797"/>
      <c r="E10" s="792"/>
      <c r="F10" s="12" t="s">
        <v>178</v>
      </c>
      <c r="G10" s="12" t="s">
        <v>1047</v>
      </c>
      <c r="H10" s="12" t="s">
        <v>178</v>
      </c>
      <c r="I10" s="12" t="s">
        <v>1047</v>
      </c>
      <c r="J10" s="12" t="s">
        <v>178</v>
      </c>
      <c r="K10" s="12" t="s">
        <v>1047</v>
      </c>
    </row>
    <row r="11" spans="1:11" ht="15.75">
      <c r="A11" s="364" t="s">
        <v>892</v>
      </c>
      <c r="B11" s="364" t="s">
        <v>893</v>
      </c>
      <c r="C11" s="364" t="s">
        <v>894</v>
      </c>
      <c r="D11" s="364" t="s">
        <v>650</v>
      </c>
      <c r="E11" s="364" t="s">
        <v>651</v>
      </c>
      <c r="F11" s="364" t="s">
        <v>895</v>
      </c>
      <c r="G11" s="364" t="s">
        <v>673</v>
      </c>
      <c r="H11" s="364" t="s">
        <v>674</v>
      </c>
      <c r="I11" s="364" t="s">
        <v>675</v>
      </c>
      <c r="J11" s="364" t="s">
        <v>676</v>
      </c>
      <c r="K11" s="364" t="s">
        <v>677</v>
      </c>
    </row>
    <row r="12" spans="1:11" ht="15.75" customHeight="1">
      <c r="A12" s="79">
        <v>1</v>
      </c>
      <c r="B12" s="302" t="s">
        <v>404</v>
      </c>
      <c r="C12" s="301">
        <v>7130800012</v>
      </c>
      <c r="D12" s="79" t="s">
        <v>26</v>
      </c>
      <c r="E12" s="270">
        <f>VLOOKUP(C12,'SOR RATE'!A:D,4,0)</f>
        <v>1654</v>
      </c>
      <c r="F12" s="79">
        <v>17</v>
      </c>
      <c r="G12" s="270">
        <f>F12*E12</f>
        <v>28118</v>
      </c>
      <c r="H12" s="79">
        <v>17</v>
      </c>
      <c r="I12" s="270">
        <f>H12*E12</f>
        <v>28118</v>
      </c>
      <c r="J12" s="79">
        <v>17</v>
      </c>
      <c r="K12" s="270">
        <f>J12*E12</f>
        <v>28118</v>
      </c>
    </row>
    <row r="13" spans="1:11" ht="15">
      <c r="A13" s="79">
        <v>2</v>
      </c>
      <c r="B13" s="302" t="s">
        <v>416</v>
      </c>
      <c r="C13" s="301">
        <v>7130810413</v>
      </c>
      <c r="D13" s="79" t="s">
        <v>26</v>
      </c>
      <c r="E13" s="270">
        <f>VLOOKUP(C13,'SOR RATE'!A:D,4,0)</f>
        <v>618</v>
      </c>
      <c r="F13" s="79">
        <v>22</v>
      </c>
      <c r="G13" s="270">
        <f>F13*E13</f>
        <v>13596</v>
      </c>
      <c r="H13" s="79">
        <v>22</v>
      </c>
      <c r="I13" s="270">
        <f>H13*E13</f>
        <v>13596</v>
      </c>
      <c r="J13" s="79">
        <v>22</v>
      </c>
      <c r="K13" s="270">
        <f>J13*E13</f>
        <v>13596</v>
      </c>
    </row>
    <row r="14" spans="1:11" ht="15">
      <c r="A14" s="79">
        <v>3</v>
      </c>
      <c r="B14" s="302" t="s">
        <v>406</v>
      </c>
      <c r="C14" s="301">
        <v>7130820106</v>
      </c>
      <c r="D14" s="79" t="s">
        <v>26</v>
      </c>
      <c r="E14" s="270">
        <f>VLOOKUP(C14,'SOR RATE'!A:D,4,0)</f>
        <v>10</v>
      </c>
      <c r="F14" s="79">
        <v>44</v>
      </c>
      <c r="G14" s="270">
        <f>F14*E14</f>
        <v>440</v>
      </c>
      <c r="H14" s="79">
        <v>44</v>
      </c>
      <c r="I14" s="270">
        <f>H14*E14</f>
        <v>440</v>
      </c>
      <c r="J14" s="79">
        <v>44</v>
      </c>
      <c r="K14" s="270">
        <f>J14*E14</f>
        <v>440</v>
      </c>
    </row>
    <row r="15" spans="1:11" ht="15">
      <c r="A15" s="79">
        <v>4</v>
      </c>
      <c r="B15" s="302" t="s">
        <v>417</v>
      </c>
      <c r="C15" s="301">
        <v>7130820201</v>
      </c>
      <c r="D15" s="79" t="s">
        <v>26</v>
      </c>
      <c r="E15" s="270">
        <f>VLOOKUP(C15,'SOR RATE'!A:D,4,0)</f>
        <v>32</v>
      </c>
      <c r="F15" s="79">
        <v>22</v>
      </c>
      <c r="G15" s="270">
        <f>F15*E15</f>
        <v>704</v>
      </c>
      <c r="H15" s="79">
        <v>22</v>
      </c>
      <c r="I15" s="270">
        <f>H15*E15</f>
        <v>704</v>
      </c>
      <c r="J15" s="79">
        <v>22</v>
      </c>
      <c r="K15" s="270">
        <f>J15*E15</f>
        <v>704</v>
      </c>
    </row>
    <row r="16" spans="1:11" ht="15">
      <c r="A16" s="79">
        <v>5</v>
      </c>
      <c r="B16" s="302" t="s">
        <v>418</v>
      </c>
      <c r="C16" s="301">
        <v>7130820216</v>
      </c>
      <c r="D16" s="79" t="s">
        <v>26</v>
      </c>
      <c r="E16" s="270">
        <f>VLOOKUP(C16,'SOR RATE'!A:D,4,0)</f>
        <v>34</v>
      </c>
      <c r="F16" s="79">
        <v>25</v>
      </c>
      <c r="G16" s="270">
        <f>F16*E16</f>
        <v>850</v>
      </c>
      <c r="H16" s="79">
        <v>25</v>
      </c>
      <c r="I16" s="270">
        <f>H16*E16</f>
        <v>850</v>
      </c>
      <c r="J16" s="79">
        <v>25</v>
      </c>
      <c r="K16" s="270">
        <f>J16*E16</f>
        <v>850</v>
      </c>
    </row>
    <row r="17" spans="1:11" ht="15.75">
      <c r="A17" s="789">
        <v>6</v>
      </c>
      <c r="B17" s="350" t="s">
        <v>1323</v>
      </c>
      <c r="C17" s="151"/>
      <c r="D17" s="365"/>
      <c r="E17" s="365"/>
      <c r="F17" s="365"/>
      <c r="G17" s="365"/>
      <c r="H17" s="365"/>
      <c r="I17" s="365"/>
      <c r="J17" s="365"/>
      <c r="K17" s="167"/>
    </row>
    <row r="18" spans="1:11" ht="15">
      <c r="A18" s="790"/>
      <c r="B18" s="302" t="s">
        <v>1324</v>
      </c>
      <c r="C18" s="301">
        <v>7130830057</v>
      </c>
      <c r="D18" s="265" t="s">
        <v>307</v>
      </c>
      <c r="E18" s="270">
        <f>VLOOKUP(C18,'SOR RATE'!A:D,4,0)/1000</f>
        <v>33.544</v>
      </c>
      <c r="F18" s="79">
        <v>1030</v>
      </c>
      <c r="G18" s="270">
        <f aca="true" t="shared" si="0" ref="G18:G24">F18*E18</f>
        <v>34550.32</v>
      </c>
      <c r="H18" s="354" t="s">
        <v>27</v>
      </c>
      <c r="I18" s="270"/>
      <c r="J18" s="354" t="s">
        <v>27</v>
      </c>
      <c r="K18" s="270"/>
    </row>
    <row r="19" spans="1:11" ht="15">
      <c r="A19" s="790"/>
      <c r="B19" s="302" t="s">
        <v>1325</v>
      </c>
      <c r="C19" s="301">
        <v>7130830055</v>
      </c>
      <c r="D19" s="265" t="s">
        <v>307</v>
      </c>
      <c r="E19" s="270">
        <f>VLOOKUP(C19,'SOR RATE'!A:D,4,0)/1000</f>
        <v>20.281</v>
      </c>
      <c r="F19" s="79">
        <v>1030</v>
      </c>
      <c r="G19" s="270">
        <f t="shared" si="0"/>
        <v>20889.43</v>
      </c>
      <c r="H19" s="366">
        <v>2060</v>
      </c>
      <c r="I19" s="270">
        <f aca="true" t="shared" si="1" ref="I19:I24">H19*E19</f>
        <v>41778.86</v>
      </c>
      <c r="J19" s="354" t="s">
        <v>27</v>
      </c>
      <c r="K19" s="270"/>
    </row>
    <row r="20" spans="1:11" ht="15">
      <c r="A20" s="791"/>
      <c r="B20" s="302" t="s">
        <v>1326</v>
      </c>
      <c r="C20" s="301">
        <v>7130830053</v>
      </c>
      <c r="D20" s="265" t="s">
        <v>307</v>
      </c>
      <c r="E20" s="270">
        <f>VLOOKUP(C20,'SOR RATE'!A:D,4,0)/1000</f>
        <v>13.002</v>
      </c>
      <c r="F20" s="79">
        <v>1030</v>
      </c>
      <c r="G20" s="270">
        <f t="shared" si="0"/>
        <v>13392.060000000001</v>
      </c>
      <c r="H20" s="367">
        <v>1030</v>
      </c>
      <c r="I20" s="270">
        <f t="shared" si="1"/>
        <v>13392.060000000001</v>
      </c>
      <c r="J20" s="367">
        <v>3090</v>
      </c>
      <c r="K20" s="270">
        <f>J20*E20</f>
        <v>40176.18</v>
      </c>
    </row>
    <row r="21" spans="1:11" ht="15">
      <c r="A21" s="789">
        <v>7</v>
      </c>
      <c r="B21" s="302" t="s">
        <v>776</v>
      </c>
      <c r="C21" s="301">
        <v>7130860032</v>
      </c>
      <c r="D21" s="265" t="s">
        <v>26</v>
      </c>
      <c r="E21" s="270">
        <f>VLOOKUP(C21,'SOR RATE'!A:D,4,0)</f>
        <v>387</v>
      </c>
      <c r="F21" s="79">
        <v>9</v>
      </c>
      <c r="G21" s="270">
        <f t="shared" si="0"/>
        <v>3483</v>
      </c>
      <c r="H21" s="79">
        <v>9</v>
      </c>
      <c r="I21" s="270">
        <f t="shared" si="1"/>
        <v>3483</v>
      </c>
      <c r="J21" s="79">
        <v>9</v>
      </c>
      <c r="K21" s="270">
        <f>J21*E21</f>
        <v>3483</v>
      </c>
    </row>
    <row r="22" spans="1:11" ht="15">
      <c r="A22" s="790"/>
      <c r="B22" s="302" t="s">
        <v>1327</v>
      </c>
      <c r="C22" s="301">
        <v>7130860077</v>
      </c>
      <c r="D22" s="265" t="s">
        <v>32</v>
      </c>
      <c r="E22" s="270">
        <f>VLOOKUP(C22,'SOR RATE'!A:D,4,0)/1000</f>
        <v>61.6</v>
      </c>
      <c r="F22" s="265">
        <v>54</v>
      </c>
      <c r="G22" s="270">
        <f t="shared" si="0"/>
        <v>3326.4</v>
      </c>
      <c r="H22" s="265">
        <v>54</v>
      </c>
      <c r="I22" s="270">
        <f t="shared" si="1"/>
        <v>3326.4</v>
      </c>
      <c r="J22" s="265">
        <v>54</v>
      </c>
      <c r="K22" s="270">
        <f>J22*E22</f>
        <v>3326.4</v>
      </c>
    </row>
    <row r="23" spans="1:11" ht="15">
      <c r="A23" s="790"/>
      <c r="B23" s="302" t="s">
        <v>782</v>
      </c>
      <c r="C23" s="301">
        <v>7130810026</v>
      </c>
      <c r="D23" s="265" t="s">
        <v>26</v>
      </c>
      <c r="E23" s="270">
        <f>VLOOKUP(C23,'SOR RATE'!A:D,4,0)</f>
        <v>142</v>
      </c>
      <c r="F23" s="265">
        <v>9</v>
      </c>
      <c r="G23" s="270">
        <f t="shared" si="0"/>
        <v>1278</v>
      </c>
      <c r="H23" s="265">
        <v>9</v>
      </c>
      <c r="I23" s="270">
        <f t="shared" si="1"/>
        <v>1278</v>
      </c>
      <c r="J23" s="265">
        <v>9</v>
      </c>
      <c r="K23" s="270">
        <f>J23*E23</f>
        <v>1278</v>
      </c>
    </row>
    <row r="24" spans="1:11" ht="15">
      <c r="A24" s="791"/>
      <c r="B24" s="302" t="s">
        <v>1328</v>
      </c>
      <c r="C24" s="301">
        <v>7130820117</v>
      </c>
      <c r="D24" s="265" t="s">
        <v>26</v>
      </c>
      <c r="E24" s="270">
        <f>VLOOKUP(C24,'SOR RATE'!A:D,4,0)</f>
        <v>9</v>
      </c>
      <c r="F24" s="265">
        <v>9</v>
      </c>
      <c r="G24" s="270">
        <f t="shared" si="0"/>
        <v>81</v>
      </c>
      <c r="H24" s="265">
        <v>9</v>
      </c>
      <c r="I24" s="270">
        <f t="shared" si="1"/>
        <v>81</v>
      </c>
      <c r="J24" s="265">
        <v>9</v>
      </c>
      <c r="K24" s="270">
        <f>J24*E24</f>
        <v>81</v>
      </c>
    </row>
    <row r="25" spans="1:11" ht="50.25" customHeight="1">
      <c r="A25" s="789">
        <v>8</v>
      </c>
      <c r="B25" s="357" t="s">
        <v>408</v>
      </c>
      <c r="D25" s="81" t="s">
        <v>1331</v>
      </c>
      <c r="E25" s="368"/>
      <c r="F25" s="310"/>
      <c r="G25" s="368"/>
      <c r="H25" s="369"/>
      <c r="I25" s="368"/>
      <c r="J25" s="369"/>
      <c r="K25" s="368"/>
    </row>
    <row r="26" spans="1:11" ht="21.75" customHeight="1">
      <c r="A26" s="791"/>
      <c r="B26" s="311" t="s">
        <v>197</v>
      </c>
      <c r="C26" s="301">
        <v>7130200401</v>
      </c>
      <c r="D26" s="79" t="s">
        <v>32</v>
      </c>
      <c r="E26" s="270">
        <f>VLOOKUP(C26,'SOR RATE'!A:D,4,0)/50</f>
        <v>5.36</v>
      </c>
      <c r="F26" s="79">
        <v>551.2</v>
      </c>
      <c r="G26" s="270">
        <f>F26*E26</f>
        <v>2954.4320000000002</v>
      </c>
      <c r="H26" s="79">
        <v>551.2</v>
      </c>
      <c r="I26" s="270">
        <f>H26*E26</f>
        <v>2954.4320000000002</v>
      </c>
      <c r="J26" s="79">
        <v>551.2</v>
      </c>
      <c r="K26" s="270">
        <f>J26*E26</f>
        <v>2954.4320000000002</v>
      </c>
    </row>
    <row r="27" spans="1:11" ht="30">
      <c r="A27" s="310">
        <v>9</v>
      </c>
      <c r="B27" s="82" t="s">
        <v>1334</v>
      </c>
      <c r="C27" s="301">
        <v>7130870013</v>
      </c>
      <c r="D27" s="310" t="s">
        <v>26</v>
      </c>
      <c r="E27" s="270">
        <f>VLOOKUP(C27,'SOR RATE'!A:D,4,0)</f>
        <v>100</v>
      </c>
      <c r="F27" s="310">
        <v>5</v>
      </c>
      <c r="G27" s="270">
        <f>F27*E27</f>
        <v>500</v>
      </c>
      <c r="H27" s="310">
        <v>5</v>
      </c>
      <c r="I27" s="270">
        <f>H27*E27</f>
        <v>500</v>
      </c>
      <c r="J27" s="310">
        <v>5</v>
      </c>
      <c r="K27" s="270">
        <f>J27*E27</f>
        <v>500</v>
      </c>
    </row>
    <row r="28" spans="1:11" ht="15">
      <c r="A28" s="79">
        <v>10</v>
      </c>
      <c r="B28" s="302" t="s">
        <v>419</v>
      </c>
      <c r="C28" s="301">
        <v>7130820018</v>
      </c>
      <c r="D28" s="79" t="s">
        <v>1009</v>
      </c>
      <c r="E28" s="270">
        <f>VLOOKUP(C28,'SOR RATE'!A:D,4,0)</f>
        <v>3</v>
      </c>
      <c r="F28" s="79">
        <v>44</v>
      </c>
      <c r="G28" s="270">
        <f>F28*E28</f>
        <v>132</v>
      </c>
      <c r="H28" s="79">
        <v>44</v>
      </c>
      <c r="I28" s="270">
        <f>H28*E28</f>
        <v>132</v>
      </c>
      <c r="J28" s="79">
        <v>44</v>
      </c>
      <c r="K28" s="270">
        <f>J28*E28</f>
        <v>132</v>
      </c>
    </row>
    <row r="29" spans="1:11" ht="15">
      <c r="A29" s="789">
        <v>11</v>
      </c>
      <c r="B29" s="302" t="s">
        <v>33</v>
      </c>
      <c r="C29" s="268"/>
      <c r="D29" s="79" t="s">
        <v>32</v>
      </c>
      <c r="E29" s="270"/>
      <c r="F29" s="79">
        <v>16</v>
      </c>
      <c r="G29" s="270"/>
      <c r="H29" s="79">
        <v>16</v>
      </c>
      <c r="I29" s="270"/>
      <c r="J29" s="79">
        <v>16</v>
      </c>
      <c r="K29" s="270"/>
    </row>
    <row r="30" spans="1:11" ht="15">
      <c r="A30" s="790"/>
      <c r="B30" s="358" t="s">
        <v>1333</v>
      </c>
      <c r="C30" s="301">
        <v>7130620573</v>
      </c>
      <c r="D30" s="79" t="s">
        <v>32</v>
      </c>
      <c r="E30" s="270">
        <f>VLOOKUP(C30,'SOR RATE'!A:D,4,0)</f>
        <v>64</v>
      </c>
      <c r="F30" s="79">
        <v>3.5</v>
      </c>
      <c r="G30" s="270">
        <f aca="true" t="shared" si="2" ref="G30:G36">F30*E30</f>
        <v>224</v>
      </c>
      <c r="H30" s="79">
        <v>3.5</v>
      </c>
      <c r="I30" s="270">
        <f aca="true" t="shared" si="3" ref="I30:I36">H30*E30</f>
        <v>224</v>
      </c>
      <c r="J30" s="79">
        <v>3.5</v>
      </c>
      <c r="K30" s="270">
        <f aca="true" t="shared" si="4" ref="K30:K36">J30*E30</f>
        <v>224</v>
      </c>
    </row>
    <row r="31" spans="1:11" ht="15">
      <c r="A31" s="790"/>
      <c r="B31" s="358" t="s">
        <v>1017</v>
      </c>
      <c r="C31" s="301">
        <v>7130620609</v>
      </c>
      <c r="D31" s="79" t="s">
        <v>32</v>
      </c>
      <c r="E31" s="270">
        <f>VLOOKUP(C31,'SOR RATE'!A:D,4,0)</f>
        <v>64</v>
      </c>
      <c r="F31" s="79">
        <v>1.5</v>
      </c>
      <c r="G31" s="270">
        <f t="shared" si="2"/>
        <v>96</v>
      </c>
      <c r="H31" s="79">
        <v>1.5</v>
      </c>
      <c r="I31" s="270">
        <f t="shared" si="3"/>
        <v>96</v>
      </c>
      <c r="J31" s="79">
        <v>1.5</v>
      </c>
      <c r="K31" s="270">
        <f t="shared" si="4"/>
        <v>96</v>
      </c>
    </row>
    <row r="32" spans="1:11" ht="15" customHeight="1">
      <c r="A32" s="791"/>
      <c r="B32" s="358" t="s">
        <v>194</v>
      </c>
      <c r="C32" s="301">
        <v>7130620625</v>
      </c>
      <c r="D32" s="79" t="s">
        <v>32</v>
      </c>
      <c r="E32" s="270">
        <f>VLOOKUP(C32,'SOR RATE'!A:D,4,0)</f>
        <v>62</v>
      </c>
      <c r="F32" s="79">
        <v>11</v>
      </c>
      <c r="G32" s="270">
        <f t="shared" si="2"/>
        <v>682</v>
      </c>
      <c r="H32" s="79">
        <v>11</v>
      </c>
      <c r="I32" s="270">
        <f t="shared" si="3"/>
        <v>682</v>
      </c>
      <c r="J32" s="79">
        <v>11</v>
      </c>
      <c r="K32" s="270">
        <f t="shared" si="4"/>
        <v>682</v>
      </c>
    </row>
    <row r="33" spans="1:11" ht="15">
      <c r="A33" s="79">
        <v>12</v>
      </c>
      <c r="B33" s="302" t="s">
        <v>950</v>
      </c>
      <c r="C33" s="301">
        <v>7130830006</v>
      </c>
      <c r="D33" s="79" t="s">
        <v>32</v>
      </c>
      <c r="E33" s="270">
        <f>VLOOKUP(C33,'SOR RATE'!A:D,4,0)</f>
        <v>139</v>
      </c>
      <c r="F33" s="79">
        <v>3.5</v>
      </c>
      <c r="G33" s="270">
        <f t="shared" si="2"/>
        <v>486.5</v>
      </c>
      <c r="H33" s="79">
        <v>3.5</v>
      </c>
      <c r="I33" s="270">
        <f t="shared" si="3"/>
        <v>486.5</v>
      </c>
      <c r="J33" s="79">
        <v>3.5</v>
      </c>
      <c r="K33" s="270">
        <f t="shared" si="4"/>
        <v>486.5</v>
      </c>
    </row>
    <row r="34" spans="1:11" ht="15">
      <c r="A34" s="79">
        <v>13</v>
      </c>
      <c r="B34" s="302" t="s">
        <v>31</v>
      </c>
      <c r="C34" s="301">
        <v>7130210809</v>
      </c>
      <c r="D34" s="79" t="s">
        <v>30</v>
      </c>
      <c r="E34" s="270">
        <f>VLOOKUP(C34,'SOR RATE'!A:D,4,0)</f>
        <v>290</v>
      </c>
      <c r="F34" s="79">
        <v>1.5</v>
      </c>
      <c r="G34" s="270">
        <f t="shared" si="2"/>
        <v>435</v>
      </c>
      <c r="H34" s="79">
        <v>1.5</v>
      </c>
      <c r="I34" s="270">
        <f t="shared" si="3"/>
        <v>435</v>
      </c>
      <c r="J34" s="79">
        <v>1.5</v>
      </c>
      <c r="K34" s="270">
        <f t="shared" si="4"/>
        <v>435</v>
      </c>
    </row>
    <row r="35" spans="1:11" ht="15">
      <c r="A35" s="79">
        <v>14</v>
      </c>
      <c r="B35" s="302" t="s">
        <v>609</v>
      </c>
      <c r="C35" s="301">
        <v>7130211158</v>
      </c>
      <c r="D35" s="79" t="s">
        <v>30</v>
      </c>
      <c r="E35" s="270">
        <f>VLOOKUP(C35,'SOR RATE'!A:D,4,0)</f>
        <v>130</v>
      </c>
      <c r="F35" s="79">
        <v>1.5</v>
      </c>
      <c r="G35" s="270">
        <f t="shared" si="2"/>
        <v>195</v>
      </c>
      <c r="H35" s="79">
        <v>1.5</v>
      </c>
      <c r="I35" s="270">
        <f t="shared" si="3"/>
        <v>195</v>
      </c>
      <c r="J35" s="79">
        <v>1.5</v>
      </c>
      <c r="K35" s="270">
        <f t="shared" si="4"/>
        <v>195</v>
      </c>
    </row>
    <row r="36" spans="1:11" ht="15">
      <c r="A36" s="79">
        <v>15</v>
      </c>
      <c r="B36" s="302" t="s">
        <v>420</v>
      </c>
      <c r="C36" s="301">
        <v>7130870043</v>
      </c>
      <c r="D36" s="79" t="s">
        <v>32</v>
      </c>
      <c r="E36" s="270">
        <f>VLOOKUP(C36,'SOR RATE'!A:D,4,0)/1000</f>
        <v>55.094</v>
      </c>
      <c r="F36" s="79">
        <v>6</v>
      </c>
      <c r="G36" s="270">
        <f t="shared" si="2"/>
        <v>330.564</v>
      </c>
      <c r="H36" s="79">
        <v>6</v>
      </c>
      <c r="I36" s="270">
        <f t="shared" si="3"/>
        <v>330.564</v>
      </c>
      <c r="J36" s="79">
        <v>6</v>
      </c>
      <c r="K36" s="270">
        <f t="shared" si="4"/>
        <v>330.564</v>
      </c>
    </row>
    <row r="37" spans="1:13" ht="18.75" customHeight="1">
      <c r="A37" s="12">
        <v>16</v>
      </c>
      <c r="B37" s="75" t="s">
        <v>937</v>
      </c>
      <c r="C37" s="12"/>
      <c r="D37" s="12"/>
      <c r="E37" s="12"/>
      <c r="F37" s="12"/>
      <c r="G37" s="80">
        <f>SUM(G12:G36)</f>
        <v>126743.70599999999</v>
      </c>
      <c r="H37" s="80"/>
      <c r="I37" s="80">
        <f>SUM(I12:I36)</f>
        <v>113082.81599999999</v>
      </c>
      <c r="J37" s="80"/>
      <c r="K37" s="80">
        <f>SUM(K12:K36)</f>
        <v>98088.07599999999</v>
      </c>
      <c r="L37" s="61"/>
      <c r="M37" s="5"/>
    </row>
    <row r="38" spans="1:13" ht="22.5" customHeight="1">
      <c r="A38" s="310">
        <v>17</v>
      </c>
      <c r="B38" s="74" t="s">
        <v>936</v>
      </c>
      <c r="C38" s="350"/>
      <c r="D38" s="351"/>
      <c r="E38" s="79">
        <v>0.09</v>
      </c>
      <c r="F38" s="79"/>
      <c r="G38" s="270">
        <f>G37*E38</f>
        <v>11406.933539999998</v>
      </c>
      <c r="H38" s="270"/>
      <c r="I38" s="270">
        <f>I37*E38</f>
        <v>10177.45344</v>
      </c>
      <c r="J38" s="270"/>
      <c r="K38" s="270">
        <f>K37*E38</f>
        <v>8827.926839999998</v>
      </c>
      <c r="L38" s="61"/>
      <c r="M38" s="58"/>
    </row>
    <row r="39" spans="1:11" ht="33.75" customHeight="1">
      <c r="A39" s="72">
        <v>18</v>
      </c>
      <c r="B39" s="78" t="s">
        <v>410</v>
      </c>
      <c r="C39" s="72"/>
      <c r="D39" s="72" t="s">
        <v>26</v>
      </c>
      <c r="E39" s="3">
        <f>97*1.11*1.086275*1.1112*1.0685</f>
        <v>138.86770458726812</v>
      </c>
      <c r="F39" s="72">
        <v>17</v>
      </c>
      <c r="G39" s="3">
        <f>F39*E39</f>
        <v>2360.750977983558</v>
      </c>
      <c r="H39" s="72">
        <v>17</v>
      </c>
      <c r="I39" s="3">
        <f>H39*E39</f>
        <v>2360.750977983558</v>
      </c>
      <c r="J39" s="72">
        <v>17</v>
      </c>
      <c r="K39" s="3">
        <f>J39*E39</f>
        <v>2360.750977983558</v>
      </c>
    </row>
    <row r="40" spans="1:11" ht="35.25" customHeight="1">
      <c r="A40" s="281" t="s">
        <v>1204</v>
      </c>
      <c r="B40" s="271" t="s">
        <v>310</v>
      </c>
      <c r="C40" s="281"/>
      <c r="D40" s="281" t="s">
        <v>28</v>
      </c>
      <c r="E40" s="3">
        <f>1664*1.27*1.0891*1.086275*1.1112*1.0685</f>
        <v>2968.460981603261</v>
      </c>
      <c r="F40" s="3">
        <v>2.65</v>
      </c>
      <c r="G40" s="3">
        <f>F40*E40</f>
        <v>7866.421601248642</v>
      </c>
      <c r="H40" s="3">
        <v>2.65</v>
      </c>
      <c r="I40" s="3">
        <f>H40*E40</f>
        <v>7866.421601248642</v>
      </c>
      <c r="J40" s="3">
        <v>2.65</v>
      </c>
      <c r="K40" s="3">
        <f>J40*E40</f>
        <v>7866.421601248642</v>
      </c>
    </row>
    <row r="41" spans="1:12" ht="21" customHeight="1">
      <c r="A41" s="72">
        <v>20</v>
      </c>
      <c r="B41" s="78" t="s">
        <v>421</v>
      </c>
      <c r="C41" s="72"/>
      <c r="D41" s="72"/>
      <c r="E41" s="3"/>
      <c r="F41" s="72"/>
      <c r="G41" s="3">
        <v>33376.36</v>
      </c>
      <c r="H41" s="72"/>
      <c r="I41" s="3">
        <f>+G41</f>
        <v>33376.36</v>
      </c>
      <c r="J41" s="72"/>
      <c r="K41" s="3">
        <f>+I41</f>
        <v>33376.36</v>
      </c>
      <c r="L41" s="149"/>
    </row>
    <row r="42" spans="1:11" ht="64.5" customHeight="1">
      <c r="A42" s="72">
        <v>21</v>
      </c>
      <c r="B42" s="78" t="s">
        <v>412</v>
      </c>
      <c r="C42" s="72"/>
      <c r="D42" s="72"/>
      <c r="E42" s="3"/>
      <c r="F42" s="72"/>
      <c r="G42" s="3">
        <f>1.1*1.1*4662*1.27*1.1*1.1797*1.1402*0.9368</f>
        <v>9930.098210393433</v>
      </c>
      <c r="H42" s="72"/>
      <c r="I42" s="3">
        <f>1.1*1.1*4662*1.27*1.1*1.1797*1.1402*0.9368</f>
        <v>9930.098210393433</v>
      </c>
      <c r="J42" s="72"/>
      <c r="K42" s="3">
        <f>1.1*1.1*4662*1.27*1.1*1.1797*1.1402*0.9368</f>
        <v>9930.098210393433</v>
      </c>
    </row>
    <row r="43" spans="1:12" ht="19.5" customHeight="1">
      <c r="A43" s="10">
        <v>22</v>
      </c>
      <c r="B43" s="75" t="s">
        <v>938</v>
      </c>
      <c r="C43" s="72"/>
      <c r="D43" s="72"/>
      <c r="E43" s="3"/>
      <c r="F43" s="72"/>
      <c r="G43" s="4">
        <f>G37+G38+G39+G40+G41+G42</f>
        <v>191684.2703296256</v>
      </c>
      <c r="H43" s="10"/>
      <c r="I43" s="4">
        <f>I37+I38+I39+I40+I41+I42</f>
        <v>176793.9002296256</v>
      </c>
      <c r="J43" s="10"/>
      <c r="K43" s="4">
        <f>K37+K38+K39+K40+K41+K42</f>
        <v>160449.6336296256</v>
      </c>
      <c r="L43" s="62"/>
    </row>
    <row r="44" spans="1:12" ht="50.25" customHeight="1">
      <c r="A44" s="72">
        <v>23</v>
      </c>
      <c r="B44" s="74" t="s">
        <v>939</v>
      </c>
      <c r="C44" s="72"/>
      <c r="D44" s="72"/>
      <c r="E44" s="3">
        <v>0.11</v>
      </c>
      <c r="F44" s="72"/>
      <c r="G44" s="3">
        <f>G37*E44</f>
        <v>13941.807659999999</v>
      </c>
      <c r="H44" s="72"/>
      <c r="I44" s="3">
        <f>I37*E44</f>
        <v>12439.10976</v>
      </c>
      <c r="J44" s="72"/>
      <c r="K44" s="3">
        <f>K37*E44</f>
        <v>10789.688359999998</v>
      </c>
      <c r="L44" s="62"/>
    </row>
    <row r="45" spans="1:11" ht="30">
      <c r="A45" s="72">
        <v>24</v>
      </c>
      <c r="B45" s="78" t="s">
        <v>1338</v>
      </c>
      <c r="C45" s="72"/>
      <c r="D45" s="72"/>
      <c r="E45" s="3"/>
      <c r="F45" s="72"/>
      <c r="G45" s="3">
        <f>G43+G44</f>
        <v>205626.0779896256</v>
      </c>
      <c r="H45" s="3"/>
      <c r="I45" s="3">
        <f>I43+I44</f>
        <v>189233.0099896256</v>
      </c>
      <c r="J45" s="3"/>
      <c r="K45" s="3">
        <f>K43+K44</f>
        <v>171239.3219896256</v>
      </c>
    </row>
    <row r="46" spans="1:11" ht="34.5" customHeight="1">
      <c r="A46" s="10">
        <v>25</v>
      </c>
      <c r="B46" s="83" t="s">
        <v>1339</v>
      </c>
      <c r="C46" s="10"/>
      <c r="D46" s="10"/>
      <c r="E46" s="4"/>
      <c r="F46" s="10"/>
      <c r="G46" s="80">
        <f>ROUND(G45,0)</f>
        <v>205626</v>
      </c>
      <c r="H46" s="10"/>
      <c r="I46" s="80">
        <f>ROUND(I45,0)</f>
        <v>189233</v>
      </c>
      <c r="J46" s="10"/>
      <c r="K46" s="80">
        <f>ROUND(K45,0)</f>
        <v>171239</v>
      </c>
    </row>
    <row r="47" spans="1:11" ht="1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.75">
      <c r="A48" s="280" t="s">
        <v>34</v>
      </c>
      <c r="B48" s="361" t="s">
        <v>35</v>
      </c>
      <c r="C48" s="361"/>
      <c r="D48" s="361"/>
      <c r="E48" s="361"/>
      <c r="F48" s="361"/>
      <c r="G48" s="370"/>
      <c r="H48" s="6"/>
      <c r="I48" s="6"/>
      <c r="J48" s="6"/>
      <c r="K48" s="6"/>
    </row>
    <row r="49" spans="1:11" ht="15">
      <c r="A49" s="48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sheetProtection/>
  <mergeCells count="14">
    <mergeCell ref="J7:K9"/>
    <mergeCell ref="A17:A20"/>
    <mergeCell ref="A21:A24"/>
    <mergeCell ref="A25:A26"/>
    <mergeCell ref="C1:H1"/>
    <mergeCell ref="A29:A32"/>
    <mergeCell ref="B3:I3"/>
    <mergeCell ref="A7:A10"/>
    <mergeCell ref="B7:B10"/>
    <mergeCell ref="C7:C10"/>
    <mergeCell ref="D7:D10"/>
    <mergeCell ref="E7:E10"/>
    <mergeCell ref="F7:G9"/>
    <mergeCell ref="H7:I9"/>
  </mergeCells>
  <conditionalFormatting sqref="B37:B38">
    <cfRule type="cellIs" priority="1" dxfId="0" operator="equal" stopIfTrue="1">
      <formula>"?"</formula>
    </cfRule>
  </conditionalFormatting>
  <printOptions gridLines="1" horizontalCentered="1"/>
  <pageMargins left="0.78" right="0.13" top="0.64" bottom="0.23" header="0.34" footer="0.14"/>
  <pageSetup fitToHeight="2" horizontalDpi="600" verticalDpi="600" orientation="landscape" paperSize="9" scale="92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8515625" style="23" customWidth="1"/>
    <col min="2" max="2" width="51.7109375" style="2" customWidth="1"/>
    <col min="3" max="3" width="16.28125" style="8" customWidth="1"/>
    <col min="4" max="4" width="7.7109375" style="2" customWidth="1"/>
    <col min="5" max="5" width="11.28125" style="2" bestFit="1" customWidth="1"/>
    <col min="6" max="6" width="10.421875" style="2" customWidth="1"/>
    <col min="7" max="7" width="19.7109375" style="2" customWidth="1"/>
    <col min="8" max="8" width="10.57421875" style="2" customWidth="1"/>
    <col min="9" max="9" width="19.57421875" style="2" customWidth="1"/>
    <col min="10" max="10" width="12.28125" style="2" customWidth="1"/>
    <col min="11" max="11" width="11.28125" style="2" customWidth="1"/>
    <col min="12" max="16384" width="9.140625" style="2" customWidth="1"/>
  </cols>
  <sheetData>
    <row r="1" spans="2:9" ht="18">
      <c r="B1" s="35"/>
      <c r="C1" s="780" t="s">
        <v>422</v>
      </c>
      <c r="D1" s="780"/>
      <c r="E1" s="780"/>
      <c r="F1" s="780"/>
      <c r="G1" s="35"/>
      <c r="H1" s="35"/>
      <c r="I1" s="35"/>
    </row>
    <row r="2" spans="1:9" ht="18">
      <c r="A2" s="149"/>
      <c r="B2" s="149"/>
      <c r="C2" s="149"/>
      <c r="D2" s="149"/>
      <c r="E2" s="149"/>
      <c r="F2" s="149"/>
      <c r="G2" s="149"/>
      <c r="H2" s="801" t="s">
        <v>1003</v>
      </c>
      <c r="I2" s="801"/>
    </row>
    <row r="3" spans="2:9" ht="18.75" customHeight="1">
      <c r="B3" s="802" t="s">
        <v>423</v>
      </c>
      <c r="C3" s="802"/>
      <c r="D3" s="802"/>
      <c r="E3" s="802"/>
      <c r="F3" s="802"/>
      <c r="G3" s="802"/>
      <c r="H3" s="802"/>
      <c r="I3" s="150"/>
    </row>
    <row r="4" spans="1:10" ht="15.75">
      <c r="A4" s="20"/>
      <c r="B4" s="20"/>
      <c r="C4" s="20"/>
      <c r="D4" s="20"/>
      <c r="E4" s="44"/>
      <c r="F4" s="44"/>
      <c r="G4" s="44"/>
      <c r="H4" s="44"/>
      <c r="I4" s="44"/>
      <c r="J4" s="44"/>
    </row>
    <row r="5" spans="1:9" ht="96.75" customHeight="1">
      <c r="A5" s="794" t="s">
        <v>191</v>
      </c>
      <c r="B5" s="803" t="s">
        <v>23</v>
      </c>
      <c r="C5" s="794" t="s">
        <v>698</v>
      </c>
      <c r="D5" s="803" t="s">
        <v>24</v>
      </c>
      <c r="E5" s="803" t="s">
        <v>1010</v>
      </c>
      <c r="F5" s="805" t="s">
        <v>424</v>
      </c>
      <c r="G5" s="806"/>
      <c r="H5" s="805" t="s">
        <v>425</v>
      </c>
      <c r="I5" s="806"/>
    </row>
    <row r="6" spans="1:9" ht="18.75" customHeight="1">
      <c r="A6" s="796"/>
      <c r="B6" s="804"/>
      <c r="C6" s="796"/>
      <c r="D6" s="804"/>
      <c r="E6" s="804"/>
      <c r="F6" s="12" t="s">
        <v>25</v>
      </c>
      <c r="G6" s="12" t="s">
        <v>1047</v>
      </c>
      <c r="H6" s="12" t="s">
        <v>25</v>
      </c>
      <c r="I6" s="12" t="s">
        <v>1047</v>
      </c>
    </row>
    <row r="7" spans="1:9" ht="15.75">
      <c r="A7" s="364" t="s">
        <v>892</v>
      </c>
      <c r="B7" s="364" t="s">
        <v>893</v>
      </c>
      <c r="C7" s="364" t="s">
        <v>894</v>
      </c>
      <c r="D7" s="364" t="s">
        <v>650</v>
      </c>
      <c r="E7" s="364" t="s">
        <v>651</v>
      </c>
      <c r="F7" s="364" t="s">
        <v>895</v>
      </c>
      <c r="G7" s="364" t="s">
        <v>673</v>
      </c>
      <c r="H7" s="364" t="s">
        <v>674</v>
      </c>
      <c r="I7" s="364" t="s">
        <v>675</v>
      </c>
    </row>
    <row r="8" spans="1:9" ht="40.5" customHeight="1">
      <c r="A8" s="798">
        <v>1</v>
      </c>
      <c r="B8" s="112" t="s">
        <v>426</v>
      </c>
      <c r="C8" s="301">
        <v>7130600635</v>
      </c>
      <c r="D8" s="265" t="s">
        <v>32</v>
      </c>
      <c r="E8" s="270">
        <f>VLOOKUP(C8,'SOR RATE'!A:D,4,0)/1000</f>
        <v>44.989</v>
      </c>
      <c r="F8" s="265">
        <v>2700.28</v>
      </c>
      <c r="G8" s="114">
        <f>F8*E8</f>
        <v>121482.89692</v>
      </c>
      <c r="H8" s="266" t="s">
        <v>27</v>
      </c>
      <c r="I8" s="266" t="s">
        <v>27</v>
      </c>
    </row>
    <row r="9" spans="1:9" ht="48.75" customHeight="1">
      <c r="A9" s="799"/>
      <c r="B9" s="112" t="s">
        <v>742</v>
      </c>
      <c r="C9" s="301">
        <v>7130600675</v>
      </c>
      <c r="D9" s="265" t="s">
        <v>32</v>
      </c>
      <c r="E9" s="270">
        <f>VLOOKUP(C9,'SOR RATE'!A:D,4,0)/1000</f>
        <v>44.989</v>
      </c>
      <c r="F9" s="266" t="s">
        <v>27</v>
      </c>
      <c r="G9" s="266" t="s">
        <v>27</v>
      </c>
      <c r="H9" s="265">
        <v>2719.55</v>
      </c>
      <c r="I9" s="267">
        <f>H9*E9</f>
        <v>122349.83495</v>
      </c>
    </row>
    <row r="10" spans="1:9" ht="19.5" customHeight="1">
      <c r="A10" s="265">
        <v>2</v>
      </c>
      <c r="B10" s="303" t="s">
        <v>743</v>
      </c>
      <c r="C10" s="371">
        <v>7130810461</v>
      </c>
      <c r="D10" s="265" t="s">
        <v>26</v>
      </c>
      <c r="E10" s="270">
        <f>VLOOKUP(C10,'SOR RATE'!A:D,4,0)</f>
        <v>854</v>
      </c>
      <c r="F10" s="265">
        <v>27</v>
      </c>
      <c r="G10" s="114">
        <f>F10*E10</f>
        <v>23058</v>
      </c>
      <c r="H10" s="265">
        <v>20</v>
      </c>
      <c r="I10" s="267">
        <f>H10*E10</f>
        <v>17080</v>
      </c>
    </row>
    <row r="11" spans="1:9" ht="30">
      <c r="A11" s="113">
        <v>3</v>
      </c>
      <c r="B11" s="269" t="s">
        <v>230</v>
      </c>
      <c r="C11" s="371">
        <v>7130820106</v>
      </c>
      <c r="D11" s="265" t="s">
        <v>26</v>
      </c>
      <c r="E11" s="270">
        <f>VLOOKUP(C11,'SOR RATE'!A:D,4,0)</f>
        <v>10</v>
      </c>
      <c r="F11" s="265">
        <v>108</v>
      </c>
      <c r="G11" s="114">
        <f>F11*E11</f>
        <v>1080</v>
      </c>
      <c r="H11" s="265">
        <v>80</v>
      </c>
      <c r="I11" s="267">
        <f>H11*E11</f>
        <v>800</v>
      </c>
    </row>
    <row r="12" spans="1:9" ht="15">
      <c r="A12" s="265">
        <v>4</v>
      </c>
      <c r="B12" s="303" t="s">
        <v>1321</v>
      </c>
      <c r="C12" s="371">
        <v>7130820216</v>
      </c>
      <c r="D12" s="265" t="s">
        <v>26</v>
      </c>
      <c r="E12" s="270">
        <f>VLOOKUP(C12,'SOR RATE'!A:D,4,0)</f>
        <v>34</v>
      </c>
      <c r="F12" s="265">
        <v>35</v>
      </c>
      <c r="G12" s="114">
        <f>F12*E12</f>
        <v>1190</v>
      </c>
      <c r="H12" s="265">
        <v>35</v>
      </c>
      <c r="I12" s="267">
        <f>H12*E12</f>
        <v>1190</v>
      </c>
    </row>
    <row r="13" spans="1:9" ht="15">
      <c r="A13" s="265">
        <v>5</v>
      </c>
      <c r="B13" s="303" t="s">
        <v>417</v>
      </c>
      <c r="C13" s="371">
        <v>7130820201</v>
      </c>
      <c r="D13" s="265" t="s">
        <v>26</v>
      </c>
      <c r="E13" s="270">
        <f>VLOOKUP(C13,'SOR RATE'!A:D,4,0)</f>
        <v>32</v>
      </c>
      <c r="F13" s="265">
        <v>27</v>
      </c>
      <c r="G13" s="114">
        <f>F13*E13</f>
        <v>864</v>
      </c>
      <c r="H13" s="265">
        <v>20</v>
      </c>
      <c r="I13" s="267">
        <f>H13*E13</f>
        <v>640</v>
      </c>
    </row>
    <row r="14" spans="1:9" ht="15">
      <c r="A14" s="807">
        <v>6</v>
      </c>
      <c r="B14" s="311" t="s">
        <v>1323</v>
      </c>
      <c r="C14" s="272"/>
      <c r="D14" s="273"/>
      <c r="E14" s="273"/>
      <c r="F14" s="273"/>
      <c r="G14" s="273"/>
      <c r="H14" s="273"/>
      <c r="I14" s="274"/>
    </row>
    <row r="15" spans="1:9" ht="15">
      <c r="A15" s="808"/>
      <c r="B15" s="303" t="s">
        <v>231</v>
      </c>
      <c r="C15" s="371">
        <v>7130830060</v>
      </c>
      <c r="D15" s="265" t="s">
        <v>307</v>
      </c>
      <c r="E15" s="270">
        <f>VLOOKUP(C15,'SOR RATE'!A:D,4,0)/1000</f>
        <v>50.002</v>
      </c>
      <c r="F15" s="266" t="s">
        <v>27</v>
      </c>
      <c r="G15" s="114"/>
      <c r="H15" s="265">
        <v>3090</v>
      </c>
      <c r="I15" s="267">
        <f>H15*E15</f>
        <v>154506.18</v>
      </c>
    </row>
    <row r="16" spans="1:9" ht="15">
      <c r="A16" s="808"/>
      <c r="B16" s="303" t="s">
        <v>232</v>
      </c>
      <c r="C16" s="371">
        <v>7130830057</v>
      </c>
      <c r="D16" s="265" t="s">
        <v>307</v>
      </c>
      <c r="E16" s="270">
        <f>VLOOKUP(C16,'SOR RATE'!A:D,4,0)/1000</f>
        <v>33.544</v>
      </c>
      <c r="F16" s="265">
        <v>3090</v>
      </c>
      <c r="G16" s="114">
        <f aca="true" t="shared" si="0" ref="G16:G22">F16*E16</f>
        <v>103650.95999999999</v>
      </c>
      <c r="H16" s="266" t="s">
        <v>27</v>
      </c>
      <c r="I16" s="266"/>
    </row>
    <row r="17" spans="1:9" ht="15">
      <c r="A17" s="809"/>
      <c r="B17" s="303" t="s">
        <v>233</v>
      </c>
      <c r="C17" s="371">
        <v>7130830055</v>
      </c>
      <c r="D17" s="265" t="s">
        <v>307</v>
      </c>
      <c r="E17" s="270">
        <f>VLOOKUP(C17,'SOR RATE'!A:D,4,0)/1000</f>
        <v>20.281</v>
      </c>
      <c r="F17" s="266">
        <v>2060</v>
      </c>
      <c r="G17" s="114">
        <f t="shared" si="0"/>
        <v>41778.86</v>
      </c>
      <c r="H17" s="265">
        <v>2060</v>
      </c>
      <c r="I17" s="267">
        <f aca="true" t="shared" si="1" ref="I17:I22">H17*E17</f>
        <v>41778.86</v>
      </c>
    </row>
    <row r="18" spans="1:9" ht="16.5" customHeight="1">
      <c r="A18" s="789">
        <v>7</v>
      </c>
      <c r="B18" s="302" t="s">
        <v>776</v>
      </c>
      <c r="C18" s="372">
        <v>7130860032</v>
      </c>
      <c r="D18" s="79" t="s">
        <v>26</v>
      </c>
      <c r="E18" s="270">
        <f>VLOOKUP(C18,'SOR RATE'!A:D,4,0)</f>
        <v>387</v>
      </c>
      <c r="F18" s="79">
        <v>12</v>
      </c>
      <c r="G18" s="270">
        <f t="shared" si="0"/>
        <v>4644</v>
      </c>
      <c r="H18" s="79">
        <v>12</v>
      </c>
      <c r="I18" s="354">
        <f t="shared" si="1"/>
        <v>4644</v>
      </c>
    </row>
    <row r="19" spans="1:9" ht="18" customHeight="1">
      <c r="A19" s="790"/>
      <c r="B19" s="302" t="s">
        <v>1327</v>
      </c>
      <c r="C19" s="371">
        <v>7130860077</v>
      </c>
      <c r="D19" s="265" t="s">
        <v>32</v>
      </c>
      <c r="E19" s="270">
        <f>VLOOKUP(C19,'SOR RATE'!A:D,4,0)/1000</f>
        <v>61.6</v>
      </c>
      <c r="F19" s="265">
        <v>72</v>
      </c>
      <c r="G19" s="114">
        <f t="shared" si="0"/>
        <v>4435.2</v>
      </c>
      <c r="H19" s="265">
        <v>72</v>
      </c>
      <c r="I19" s="267">
        <f t="shared" si="1"/>
        <v>4435.2</v>
      </c>
    </row>
    <row r="20" spans="1:9" ht="15">
      <c r="A20" s="791"/>
      <c r="B20" s="302" t="s">
        <v>782</v>
      </c>
      <c r="C20" s="264">
        <v>7130810026</v>
      </c>
      <c r="D20" s="265" t="s">
        <v>26</v>
      </c>
      <c r="E20" s="270">
        <f>VLOOKUP(C20,'SOR RATE'!A:D,4,0)</f>
        <v>142</v>
      </c>
      <c r="F20" s="265">
        <v>12</v>
      </c>
      <c r="G20" s="114">
        <f t="shared" si="0"/>
        <v>1704</v>
      </c>
      <c r="H20" s="265">
        <v>12</v>
      </c>
      <c r="I20" s="267">
        <f t="shared" si="1"/>
        <v>1704</v>
      </c>
    </row>
    <row r="21" spans="1:9" ht="15">
      <c r="A21" s="265">
        <v>8</v>
      </c>
      <c r="B21" s="303" t="s">
        <v>419</v>
      </c>
      <c r="C21" s="371">
        <v>7130820018</v>
      </c>
      <c r="D21" s="265" t="s">
        <v>1009</v>
      </c>
      <c r="E21" s="270">
        <f>VLOOKUP(C21,'SOR RATE'!A:D,4,0)</f>
        <v>3</v>
      </c>
      <c r="F21" s="265">
        <v>60</v>
      </c>
      <c r="G21" s="114">
        <f t="shared" si="0"/>
        <v>180</v>
      </c>
      <c r="H21" s="265">
        <v>40</v>
      </c>
      <c r="I21" s="267">
        <f t="shared" si="1"/>
        <v>120</v>
      </c>
    </row>
    <row r="22" spans="1:9" ht="15">
      <c r="A22" s="113">
        <v>9</v>
      </c>
      <c r="B22" s="373" t="s">
        <v>950</v>
      </c>
      <c r="C22" s="371">
        <v>7130830006</v>
      </c>
      <c r="D22" s="265" t="s">
        <v>32</v>
      </c>
      <c r="E22" s="270">
        <f>VLOOKUP(C22,'SOR RATE'!A:D,4,0)</f>
        <v>139</v>
      </c>
      <c r="F22" s="265">
        <v>3.5</v>
      </c>
      <c r="G22" s="114">
        <f t="shared" si="0"/>
        <v>486.5</v>
      </c>
      <c r="H22" s="265">
        <v>3</v>
      </c>
      <c r="I22" s="267">
        <f t="shared" si="1"/>
        <v>417</v>
      </c>
    </row>
    <row r="23" spans="1:9" ht="47.25">
      <c r="A23" s="798">
        <v>10</v>
      </c>
      <c r="B23" s="374" t="s">
        <v>234</v>
      </c>
      <c r="C23" s="371"/>
      <c r="D23" s="110" t="s">
        <v>1331</v>
      </c>
      <c r="E23" s="270"/>
      <c r="F23" s="304">
        <v>10.1</v>
      </c>
      <c r="G23" s="114"/>
      <c r="H23" s="304">
        <v>7.65</v>
      </c>
      <c r="I23" s="266"/>
    </row>
    <row r="24" spans="1:9" ht="19.5" customHeight="1">
      <c r="A24" s="799"/>
      <c r="B24" s="303" t="s">
        <v>777</v>
      </c>
      <c r="C24" s="371">
        <v>7130200401</v>
      </c>
      <c r="D24" s="265" t="s">
        <v>32</v>
      </c>
      <c r="E24" s="270">
        <f>VLOOKUP(C24,'SOR RATE'!A:D,4,0)/50</f>
        <v>5.36</v>
      </c>
      <c r="F24" s="265">
        <v>2100</v>
      </c>
      <c r="G24" s="114">
        <f>F24*E24</f>
        <v>11256</v>
      </c>
      <c r="H24" s="265">
        <v>1591</v>
      </c>
      <c r="I24" s="267">
        <f>H24*E24</f>
        <v>8527.76</v>
      </c>
    </row>
    <row r="25" spans="1:9" ht="15.75">
      <c r="A25" s="798">
        <v>11</v>
      </c>
      <c r="B25" s="375" t="s">
        <v>33</v>
      </c>
      <c r="C25" s="371"/>
      <c r="D25" s="265" t="s">
        <v>32</v>
      </c>
      <c r="E25" s="270"/>
      <c r="F25" s="304">
        <v>44</v>
      </c>
      <c r="G25" s="114"/>
      <c r="H25" s="304">
        <v>30</v>
      </c>
      <c r="I25" s="267"/>
    </row>
    <row r="26" spans="1:9" ht="18.75" customHeight="1">
      <c r="A26" s="800"/>
      <c r="B26" s="358" t="s">
        <v>1333</v>
      </c>
      <c r="C26" s="371">
        <v>7130620573</v>
      </c>
      <c r="D26" s="265" t="s">
        <v>32</v>
      </c>
      <c r="E26" s="270">
        <f>VLOOKUP(C26,'SOR RATE'!A:D,4,0)</f>
        <v>64</v>
      </c>
      <c r="F26" s="265">
        <v>17</v>
      </c>
      <c r="G26" s="114">
        <f aca="true" t="shared" si="2" ref="G26:G32">F26*E26</f>
        <v>1088</v>
      </c>
      <c r="H26" s="265">
        <v>12</v>
      </c>
      <c r="I26" s="267">
        <f aca="true" t="shared" si="3" ref="I26:I32">H26*E26</f>
        <v>768</v>
      </c>
    </row>
    <row r="27" spans="1:9" ht="15.75" customHeight="1">
      <c r="A27" s="800"/>
      <c r="B27" s="358" t="s">
        <v>1017</v>
      </c>
      <c r="C27" s="371">
        <v>7130620609</v>
      </c>
      <c r="D27" s="265" t="s">
        <v>32</v>
      </c>
      <c r="E27" s="270">
        <f>VLOOKUP(C27,'SOR RATE'!A:D,4,0)</f>
        <v>64</v>
      </c>
      <c r="F27" s="265">
        <v>8</v>
      </c>
      <c r="G27" s="114">
        <f t="shared" si="2"/>
        <v>512</v>
      </c>
      <c r="H27" s="265">
        <v>5</v>
      </c>
      <c r="I27" s="267">
        <f t="shared" si="3"/>
        <v>320</v>
      </c>
    </row>
    <row r="28" spans="1:9" ht="18.75" customHeight="1">
      <c r="A28" s="799"/>
      <c r="B28" s="358" t="s">
        <v>192</v>
      </c>
      <c r="C28" s="371">
        <v>7130620614</v>
      </c>
      <c r="D28" s="265" t="s">
        <v>32</v>
      </c>
      <c r="E28" s="270">
        <f>VLOOKUP(C28,'SOR RATE'!A:D,4,0)</f>
        <v>63</v>
      </c>
      <c r="F28" s="265">
        <v>19</v>
      </c>
      <c r="G28" s="114">
        <f t="shared" si="2"/>
        <v>1197</v>
      </c>
      <c r="H28" s="265">
        <v>13</v>
      </c>
      <c r="I28" s="267">
        <f t="shared" si="3"/>
        <v>819</v>
      </c>
    </row>
    <row r="29" spans="1:9" ht="30">
      <c r="A29" s="113">
        <v>12</v>
      </c>
      <c r="B29" s="269" t="s">
        <v>235</v>
      </c>
      <c r="C29" s="371">
        <v>7130870013</v>
      </c>
      <c r="D29" s="110" t="s">
        <v>26</v>
      </c>
      <c r="E29" s="270">
        <f>VLOOKUP(C29,'SOR RATE'!A:D,4,0)</f>
        <v>100</v>
      </c>
      <c r="F29" s="265">
        <v>7</v>
      </c>
      <c r="G29" s="114">
        <f t="shared" si="2"/>
        <v>700</v>
      </c>
      <c r="H29" s="265">
        <v>5</v>
      </c>
      <c r="I29" s="267">
        <f t="shared" si="3"/>
        <v>500</v>
      </c>
    </row>
    <row r="30" spans="1:9" ht="15">
      <c r="A30" s="265">
        <v>13</v>
      </c>
      <c r="B30" s="303" t="s">
        <v>29</v>
      </c>
      <c r="C30" s="371">
        <v>7130211158</v>
      </c>
      <c r="D30" s="265" t="s">
        <v>30</v>
      </c>
      <c r="E30" s="270">
        <f>VLOOKUP(C30,'SOR RATE'!A:D,4,0)</f>
        <v>130</v>
      </c>
      <c r="F30" s="265">
        <v>5</v>
      </c>
      <c r="G30" s="114">
        <f t="shared" si="2"/>
        <v>650</v>
      </c>
      <c r="H30" s="265">
        <v>5</v>
      </c>
      <c r="I30" s="267">
        <f t="shared" si="3"/>
        <v>650</v>
      </c>
    </row>
    <row r="31" spans="1:9" ht="15">
      <c r="A31" s="265">
        <v>14</v>
      </c>
      <c r="B31" s="303" t="s">
        <v>31</v>
      </c>
      <c r="C31" s="371">
        <v>7130210809</v>
      </c>
      <c r="D31" s="265" t="s">
        <v>30</v>
      </c>
      <c r="E31" s="270">
        <f>VLOOKUP(C31,'SOR RATE'!A:D,4,0)</f>
        <v>290</v>
      </c>
      <c r="F31" s="265">
        <v>5</v>
      </c>
      <c r="G31" s="114">
        <f t="shared" si="2"/>
        <v>1450</v>
      </c>
      <c r="H31" s="265">
        <v>5</v>
      </c>
      <c r="I31" s="267">
        <f t="shared" si="3"/>
        <v>1450</v>
      </c>
    </row>
    <row r="32" spans="1:9" ht="15">
      <c r="A32" s="265">
        <v>15</v>
      </c>
      <c r="B32" s="303" t="s">
        <v>236</v>
      </c>
      <c r="C32" s="301">
        <v>7130870043</v>
      </c>
      <c r="D32" s="265" t="s">
        <v>32</v>
      </c>
      <c r="E32" s="270">
        <f>VLOOKUP(C32,'SOR RATE'!A:D,4,0)/1000</f>
        <v>55.094</v>
      </c>
      <c r="F32" s="265">
        <v>7.5</v>
      </c>
      <c r="G32" s="114">
        <f t="shared" si="2"/>
        <v>413.205</v>
      </c>
      <c r="H32" s="265">
        <v>5</v>
      </c>
      <c r="I32" s="267">
        <f t="shared" si="3"/>
        <v>275.47</v>
      </c>
    </row>
    <row r="33" spans="1:9" ht="18.75" customHeight="1">
      <c r="A33" s="304">
        <v>16</v>
      </c>
      <c r="B33" s="75" t="s">
        <v>937</v>
      </c>
      <c r="C33" s="376"/>
      <c r="D33" s="265"/>
      <c r="E33" s="79"/>
      <c r="F33" s="265"/>
      <c r="G33" s="305">
        <f>SUM(G8:G32)</f>
        <v>321820.62192</v>
      </c>
      <c r="H33" s="305"/>
      <c r="I33" s="305">
        <f>SUM(I8:I32)</f>
        <v>362975.30494999996</v>
      </c>
    </row>
    <row r="34" spans="1:11" ht="19.5" customHeight="1">
      <c r="A34" s="113">
        <v>17</v>
      </c>
      <c r="B34" s="74" t="s">
        <v>936</v>
      </c>
      <c r="C34" s="272"/>
      <c r="D34" s="273"/>
      <c r="E34" s="301">
        <v>0.09</v>
      </c>
      <c r="F34" s="273"/>
      <c r="G34" s="114">
        <f>G33*E34</f>
        <v>28963.8559728</v>
      </c>
      <c r="H34" s="114"/>
      <c r="I34" s="114">
        <f>I33*E34</f>
        <v>32667.777445499996</v>
      </c>
      <c r="J34" s="61"/>
      <c r="K34" s="5"/>
    </row>
    <row r="35" spans="1:11" ht="17.25" customHeight="1">
      <c r="A35" s="281" t="s">
        <v>237</v>
      </c>
      <c r="B35" s="271" t="s">
        <v>310</v>
      </c>
      <c r="C35" s="279"/>
      <c r="D35" s="281" t="s">
        <v>28</v>
      </c>
      <c r="E35" s="111">
        <f>1664*1.27*1.0891*1.086275*1.1112*1.0685</f>
        <v>2968.460981603261</v>
      </c>
      <c r="F35" s="265">
        <v>10.1</v>
      </c>
      <c r="G35" s="114">
        <f>F35*E35</f>
        <v>29981.45591419294</v>
      </c>
      <c r="H35" s="265">
        <v>7.65</v>
      </c>
      <c r="I35" s="114">
        <f>H35*E35</f>
        <v>22708.72650926495</v>
      </c>
      <c r="J35" s="61"/>
      <c r="K35" s="58"/>
    </row>
    <row r="36" spans="1:11" ht="18.75" customHeight="1">
      <c r="A36" s="110">
        <v>19</v>
      </c>
      <c r="B36" s="112" t="s">
        <v>238</v>
      </c>
      <c r="C36" s="279"/>
      <c r="D36" s="111"/>
      <c r="E36" s="110"/>
      <c r="F36" s="265"/>
      <c r="G36" s="111">
        <v>49043.97</v>
      </c>
      <c r="H36" s="265"/>
      <c r="I36" s="111">
        <v>41798.03</v>
      </c>
      <c r="J36" s="149"/>
      <c r="K36" s="70"/>
    </row>
    <row r="37" spans="1:9" ht="48" customHeight="1">
      <c r="A37" s="110">
        <v>20</v>
      </c>
      <c r="B37" s="112" t="s">
        <v>239</v>
      </c>
      <c r="C37" s="279"/>
      <c r="D37" s="111"/>
      <c r="E37" s="110"/>
      <c r="F37" s="265"/>
      <c r="G37" s="111">
        <f>1.1*1.1*4494*1.2*1.1*1.1797*1.1402*0.9368</f>
        <v>9044.652126087229</v>
      </c>
      <c r="H37" s="265"/>
      <c r="I37" s="111">
        <f>1.1*1.1*4494*1.2*1.1*1.1797*1.1402*0.9368</f>
        <v>9044.652126087229</v>
      </c>
    </row>
    <row r="38" spans="1:10" ht="15.75">
      <c r="A38" s="10">
        <v>21</v>
      </c>
      <c r="B38" s="75" t="s">
        <v>938</v>
      </c>
      <c r="C38" s="279"/>
      <c r="D38" s="111"/>
      <c r="E38" s="110"/>
      <c r="F38" s="265"/>
      <c r="G38" s="4">
        <f>G33+G34+G35+G36+G37</f>
        <v>438854.55593308015</v>
      </c>
      <c r="H38" s="12"/>
      <c r="I38" s="4">
        <f>I33+I34+I35+I36+I37</f>
        <v>469194.4910308522</v>
      </c>
      <c r="J38" s="62"/>
    </row>
    <row r="39" spans="1:10" ht="39.75" customHeight="1">
      <c r="A39" s="110">
        <v>22</v>
      </c>
      <c r="B39" s="74" t="s">
        <v>939</v>
      </c>
      <c r="C39" s="279"/>
      <c r="D39" s="111"/>
      <c r="E39" s="110">
        <v>0.11</v>
      </c>
      <c r="F39" s="265"/>
      <c r="G39" s="111">
        <f>G33*E39</f>
        <v>35400.2684112</v>
      </c>
      <c r="H39" s="265"/>
      <c r="I39" s="111">
        <f>I33*E39</f>
        <v>39927.283544499995</v>
      </c>
      <c r="J39" s="62"/>
    </row>
    <row r="40" spans="1:11" ht="21.75" customHeight="1">
      <c r="A40" s="110">
        <v>23</v>
      </c>
      <c r="B40" s="112" t="s">
        <v>1338</v>
      </c>
      <c r="C40" s="279"/>
      <c r="D40" s="111"/>
      <c r="E40" s="110"/>
      <c r="F40" s="265"/>
      <c r="G40" s="111">
        <f>G38+G39</f>
        <v>474254.8243442802</v>
      </c>
      <c r="H40" s="111"/>
      <c r="I40" s="111">
        <f>I38+I39</f>
        <v>509121.7745753522</v>
      </c>
      <c r="K40" s="171"/>
    </row>
    <row r="41" spans="1:9" ht="34.5" customHeight="1">
      <c r="A41" s="306">
        <v>24</v>
      </c>
      <c r="B41" s="307" t="s">
        <v>1339</v>
      </c>
      <c r="C41" s="377"/>
      <c r="D41" s="115"/>
      <c r="E41" s="306"/>
      <c r="F41" s="265"/>
      <c r="G41" s="305">
        <f>ROUND(G40,0)</f>
        <v>474255</v>
      </c>
      <c r="H41" s="265"/>
      <c r="I41" s="305">
        <f>ROUND(I40,0)</f>
        <v>509122</v>
      </c>
    </row>
    <row r="42" spans="1:9" ht="15">
      <c r="A42" s="48"/>
      <c r="B42" s="5"/>
      <c r="C42" s="282"/>
      <c r="D42" s="5"/>
      <c r="E42" s="5"/>
      <c r="F42" s="5"/>
      <c r="G42" s="5"/>
      <c r="H42" s="5"/>
      <c r="I42" s="378"/>
    </row>
    <row r="43" spans="1:9" ht="15.75">
      <c r="A43" s="379"/>
      <c r="B43" s="308" t="s">
        <v>1346</v>
      </c>
      <c r="C43" s="380"/>
      <c r="D43" s="308"/>
      <c r="E43" s="308"/>
      <c r="F43" s="381"/>
      <c r="G43" s="5"/>
      <c r="H43" s="5"/>
      <c r="I43" s="5"/>
    </row>
    <row r="44" spans="1:9" ht="15">
      <c r="A44" s="48"/>
      <c r="B44" s="5"/>
      <c r="C44" s="282"/>
      <c r="D44" s="5"/>
      <c r="E44" s="5"/>
      <c r="F44" s="5"/>
      <c r="G44" s="5"/>
      <c r="H44" s="5"/>
      <c r="I44" s="5"/>
    </row>
    <row r="45" spans="1:9" ht="15">
      <c r="A45" s="48"/>
      <c r="B45" s="5"/>
      <c r="C45" s="282"/>
      <c r="D45" s="5"/>
      <c r="E45" s="5"/>
      <c r="F45" s="5"/>
      <c r="G45" s="5"/>
      <c r="H45" s="5"/>
      <c r="I45" s="5"/>
    </row>
    <row r="46" spans="1:9" ht="15">
      <c r="A46" s="48"/>
      <c r="B46" s="5"/>
      <c r="C46" s="282"/>
      <c r="D46" s="5"/>
      <c r="E46" s="5"/>
      <c r="F46" s="5"/>
      <c r="G46" s="5"/>
      <c r="H46" s="5"/>
      <c r="I46" s="5"/>
    </row>
    <row r="47" spans="1:9" ht="15">
      <c r="A47" s="48"/>
      <c r="B47" s="5"/>
      <c r="C47" s="282"/>
      <c r="D47" s="5"/>
      <c r="E47" s="5"/>
      <c r="F47" s="5"/>
      <c r="G47" s="5"/>
      <c r="H47" s="5"/>
      <c r="I47" s="5"/>
    </row>
    <row r="48" spans="1:9" ht="15">
      <c r="A48" s="48"/>
      <c r="B48" s="5"/>
      <c r="C48" s="282"/>
      <c r="D48" s="5"/>
      <c r="E48" s="5"/>
      <c r="F48" s="5"/>
      <c r="G48" s="5"/>
      <c r="H48" s="5"/>
      <c r="I48" s="5"/>
    </row>
    <row r="49" spans="1:9" ht="15">
      <c r="A49" s="48"/>
      <c r="B49" s="5"/>
      <c r="C49" s="282"/>
      <c r="D49" s="5"/>
      <c r="E49" s="5"/>
      <c r="F49" s="5"/>
      <c r="G49" s="5"/>
      <c r="H49" s="5"/>
      <c r="I49" s="5"/>
    </row>
    <row r="50" spans="1:9" ht="15">
      <c r="A50" s="48"/>
      <c r="B50" s="5"/>
      <c r="C50" s="282"/>
      <c r="D50" s="5"/>
      <c r="E50" s="5"/>
      <c r="F50" s="5"/>
      <c r="G50" s="5"/>
      <c r="H50" s="5"/>
      <c r="I50" s="5"/>
    </row>
    <row r="51" spans="1:9" ht="15">
      <c r="A51" s="48"/>
      <c r="B51" s="5"/>
      <c r="C51" s="282"/>
      <c r="D51" s="5"/>
      <c r="E51" s="5"/>
      <c r="F51" s="5"/>
      <c r="G51" s="5"/>
      <c r="H51" s="5"/>
      <c r="I51" s="5"/>
    </row>
    <row r="52" spans="1:9" ht="15">
      <c r="A52" s="48"/>
      <c r="B52" s="5"/>
      <c r="C52" s="282"/>
      <c r="D52" s="5"/>
      <c r="E52" s="5"/>
      <c r="F52" s="5"/>
      <c r="G52" s="5"/>
      <c r="H52" s="5"/>
      <c r="I52" s="5"/>
    </row>
    <row r="53" spans="1:9" ht="15">
      <c r="A53" s="48"/>
      <c r="B53" s="5"/>
      <c r="C53" s="282"/>
      <c r="D53" s="5"/>
      <c r="E53" s="5"/>
      <c r="F53" s="5"/>
      <c r="G53" s="5"/>
      <c r="H53" s="5"/>
      <c r="I53" s="5"/>
    </row>
  </sheetData>
  <sheetProtection/>
  <mergeCells count="15">
    <mergeCell ref="F5:G5"/>
    <mergeCell ref="A8:A9"/>
    <mergeCell ref="A14:A17"/>
    <mergeCell ref="A18:A20"/>
    <mergeCell ref="E5:E6"/>
    <mergeCell ref="A23:A24"/>
    <mergeCell ref="A25:A28"/>
    <mergeCell ref="C1:F1"/>
    <mergeCell ref="H2:I2"/>
    <mergeCell ref="B3:H3"/>
    <mergeCell ref="A5:A6"/>
    <mergeCell ref="B5:B6"/>
    <mergeCell ref="C5:C6"/>
    <mergeCell ref="D5:D6"/>
    <mergeCell ref="H5:I5"/>
  </mergeCells>
  <conditionalFormatting sqref="B33:B34">
    <cfRule type="cellIs" priority="1" dxfId="0" operator="equal" stopIfTrue="1">
      <formula>"?"</formula>
    </cfRule>
  </conditionalFormatting>
  <printOptions gridLines="1" horizontalCentered="1"/>
  <pageMargins left="0.72" right="0.12" top="0.78" bottom="0.49" header="0.48" footer="0.17"/>
  <pageSetup fitToHeight="2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43"/>
  <sheetViews>
    <sheetView zoomScalePageLayoutView="0" workbookViewId="0" topLeftCell="A3">
      <pane xSplit="4" ySplit="8" topLeftCell="E11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A3" sqref="A3"/>
    </sheetView>
  </sheetViews>
  <sheetFormatPr defaultColWidth="9.140625" defaultRowHeight="12.75"/>
  <cols>
    <col min="1" max="1" width="4.140625" style="23" bestFit="1" customWidth="1"/>
    <col min="2" max="2" width="42.421875" style="2" customWidth="1"/>
    <col min="3" max="3" width="11.7109375" style="2" customWidth="1"/>
    <col min="4" max="4" width="7.57421875" style="2" customWidth="1"/>
    <col min="5" max="5" width="9.8515625" style="2" bestFit="1" customWidth="1"/>
    <col min="6" max="6" width="8.00390625" style="2" bestFit="1" customWidth="1"/>
    <col min="7" max="7" width="14.57421875" style="2" customWidth="1"/>
    <col min="8" max="8" width="8.00390625" style="2" bestFit="1" customWidth="1"/>
    <col min="9" max="9" width="11.00390625" style="2" bestFit="1" customWidth="1"/>
    <col min="10" max="10" width="8.00390625" style="2" bestFit="1" customWidth="1"/>
    <col min="11" max="11" width="11.00390625" style="2" bestFit="1" customWidth="1"/>
    <col min="12" max="12" width="10.00390625" style="2" customWidth="1"/>
    <col min="13" max="16384" width="9.140625" style="2" customWidth="1"/>
  </cols>
  <sheetData>
    <row r="1" spans="2:11" ht="18">
      <c r="B1" s="35"/>
      <c r="C1" s="780" t="s">
        <v>240</v>
      </c>
      <c r="D1" s="780"/>
      <c r="E1" s="780"/>
      <c r="F1" s="780"/>
      <c r="G1" s="780"/>
      <c r="H1" s="35"/>
      <c r="I1" s="35"/>
      <c r="J1" s="35"/>
      <c r="K1" s="35"/>
    </row>
    <row r="2" spans="2:11" ht="18">
      <c r="B2" s="35"/>
      <c r="C2" s="35"/>
      <c r="D2" s="24"/>
      <c r="E2" s="24"/>
      <c r="F2" s="24"/>
      <c r="G2" s="24"/>
      <c r="H2" s="35"/>
      <c r="I2" s="35"/>
      <c r="J2" s="35"/>
      <c r="K2" s="35"/>
    </row>
    <row r="3" spans="2:11" ht="38.25" customHeight="1">
      <c r="B3" s="781" t="s">
        <v>241</v>
      </c>
      <c r="C3" s="781"/>
      <c r="D3" s="781"/>
      <c r="E3" s="781"/>
      <c r="F3" s="781"/>
      <c r="G3" s="781"/>
      <c r="H3" s="781"/>
      <c r="I3" s="781"/>
      <c r="J3" s="250"/>
      <c r="K3" s="250"/>
    </row>
    <row r="4" spans="1:11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8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718" t="s">
        <v>1003</v>
      </c>
    </row>
    <row r="6" spans="1:11" ht="27.75" customHeight="1">
      <c r="A6" s="813" t="s">
        <v>191</v>
      </c>
      <c r="B6" s="813" t="s">
        <v>23</v>
      </c>
      <c r="C6" s="813" t="s">
        <v>698</v>
      </c>
      <c r="D6" s="813" t="s">
        <v>24</v>
      </c>
      <c r="E6" s="813" t="s">
        <v>1010</v>
      </c>
      <c r="F6" s="813" t="s">
        <v>242</v>
      </c>
      <c r="G6" s="813"/>
      <c r="H6" s="813" t="s">
        <v>1315</v>
      </c>
      <c r="I6" s="813"/>
      <c r="J6" s="813" t="s">
        <v>403</v>
      </c>
      <c r="K6" s="813"/>
    </row>
    <row r="7" spans="1:11" ht="12.75">
      <c r="A7" s="813"/>
      <c r="B7" s="813"/>
      <c r="C7" s="813"/>
      <c r="D7" s="813"/>
      <c r="E7" s="813"/>
      <c r="F7" s="813"/>
      <c r="G7" s="813"/>
      <c r="H7" s="813"/>
      <c r="I7" s="813"/>
      <c r="J7" s="813"/>
      <c r="K7" s="813"/>
    </row>
    <row r="8" spans="1:11" ht="26.25" customHeight="1">
      <c r="A8" s="813"/>
      <c r="B8" s="813"/>
      <c r="C8" s="813"/>
      <c r="D8" s="813"/>
      <c r="E8" s="813"/>
      <c r="F8" s="813"/>
      <c r="G8" s="813"/>
      <c r="H8" s="813"/>
      <c r="I8" s="813"/>
      <c r="J8" s="813"/>
      <c r="K8" s="813"/>
    </row>
    <row r="9" spans="1:11" ht="12.75">
      <c r="A9" s="813"/>
      <c r="B9" s="813"/>
      <c r="C9" s="813"/>
      <c r="D9" s="813"/>
      <c r="E9" s="813"/>
      <c r="F9" s="138" t="s">
        <v>25</v>
      </c>
      <c r="G9" s="138" t="s">
        <v>1047</v>
      </c>
      <c r="H9" s="138" t="s">
        <v>25</v>
      </c>
      <c r="I9" s="138" t="s">
        <v>1047</v>
      </c>
      <c r="J9" s="138" t="s">
        <v>25</v>
      </c>
      <c r="K9" s="138" t="s">
        <v>1047</v>
      </c>
    </row>
    <row r="10" spans="1:11" ht="12.75">
      <c r="A10" s="219" t="s">
        <v>892</v>
      </c>
      <c r="B10" s="219" t="s">
        <v>893</v>
      </c>
      <c r="C10" s="219" t="s">
        <v>894</v>
      </c>
      <c r="D10" s="219" t="s">
        <v>650</v>
      </c>
      <c r="E10" s="219" t="s">
        <v>651</v>
      </c>
      <c r="F10" s="219" t="s">
        <v>895</v>
      </c>
      <c r="G10" s="219" t="s">
        <v>673</v>
      </c>
      <c r="H10" s="219" t="s">
        <v>674</v>
      </c>
      <c r="I10" s="219" t="s">
        <v>675</v>
      </c>
      <c r="J10" s="219" t="s">
        <v>676</v>
      </c>
      <c r="K10" s="219" t="s">
        <v>677</v>
      </c>
    </row>
    <row r="11" spans="1:11" s="172" customFormat="1" ht="32.25" customHeight="1">
      <c r="A11" s="132">
        <v>1</v>
      </c>
      <c r="B11" s="134" t="s">
        <v>243</v>
      </c>
      <c r="C11" s="176">
        <v>7130600635</v>
      </c>
      <c r="D11" s="132" t="s">
        <v>32</v>
      </c>
      <c r="E11" s="382">
        <f>VLOOKUP(C11,'SOR RATE'!A:D,4,0)/1000</f>
        <v>44.989</v>
      </c>
      <c r="F11" s="132">
        <v>2700.28</v>
      </c>
      <c r="G11" s="140">
        <f>F11*E11</f>
        <v>121482.89692</v>
      </c>
      <c r="H11" s="132">
        <v>2700.28</v>
      </c>
      <c r="I11" s="140">
        <f>H11*E11</f>
        <v>121482.89692</v>
      </c>
      <c r="J11" s="132">
        <v>2700.28</v>
      </c>
      <c r="K11" s="140">
        <f>J11*E11</f>
        <v>121482.89692</v>
      </c>
    </row>
    <row r="12" spans="1:11" ht="13.5" customHeight="1">
      <c r="A12" s="132">
        <v>2</v>
      </c>
      <c r="B12" s="209" t="s">
        <v>416</v>
      </c>
      <c r="C12" s="176">
        <v>7130810413</v>
      </c>
      <c r="D12" s="132" t="s">
        <v>26</v>
      </c>
      <c r="E12" s="382">
        <f>VLOOKUP(C12,'SOR RATE'!A:D,4,0)</f>
        <v>618</v>
      </c>
      <c r="F12" s="132">
        <v>22</v>
      </c>
      <c r="G12" s="140">
        <f>F12*E12</f>
        <v>13596</v>
      </c>
      <c r="H12" s="132">
        <v>22</v>
      </c>
      <c r="I12" s="140">
        <f>H12*E12</f>
        <v>13596</v>
      </c>
      <c r="J12" s="132">
        <v>22</v>
      </c>
      <c r="K12" s="140">
        <f>J12*E12</f>
        <v>13596</v>
      </c>
    </row>
    <row r="13" spans="1:11" ht="13.5" customHeight="1">
      <c r="A13" s="132">
        <v>3</v>
      </c>
      <c r="B13" s="209" t="s">
        <v>406</v>
      </c>
      <c r="C13" s="176">
        <v>7130820106</v>
      </c>
      <c r="D13" s="132" t="s">
        <v>26</v>
      </c>
      <c r="E13" s="382">
        <f>VLOOKUP(C13,'SOR RATE'!A:D,4,0)</f>
        <v>10</v>
      </c>
      <c r="F13" s="132">
        <v>54</v>
      </c>
      <c r="G13" s="140">
        <f>F13*E13</f>
        <v>540</v>
      </c>
      <c r="H13" s="132">
        <v>54</v>
      </c>
      <c r="I13" s="140">
        <f>H13*E13</f>
        <v>540</v>
      </c>
      <c r="J13" s="132">
        <v>54</v>
      </c>
      <c r="K13" s="140">
        <f>J13*E13</f>
        <v>540</v>
      </c>
    </row>
    <row r="14" spans="1:11" ht="13.5" customHeight="1">
      <c r="A14" s="132">
        <v>4</v>
      </c>
      <c r="B14" s="209" t="s">
        <v>1322</v>
      </c>
      <c r="C14" s="176">
        <v>7130820201</v>
      </c>
      <c r="D14" s="132" t="s">
        <v>26</v>
      </c>
      <c r="E14" s="382">
        <f>VLOOKUP(C14,'SOR RATE'!A:D,4,0)</f>
        <v>32</v>
      </c>
      <c r="F14" s="132">
        <v>22</v>
      </c>
      <c r="G14" s="140">
        <f>F14*E14</f>
        <v>704</v>
      </c>
      <c r="H14" s="132">
        <v>22</v>
      </c>
      <c r="I14" s="140">
        <f>H14*E14</f>
        <v>704</v>
      </c>
      <c r="J14" s="132">
        <v>22</v>
      </c>
      <c r="K14" s="140">
        <f>J14*E14</f>
        <v>704</v>
      </c>
    </row>
    <row r="15" spans="1:11" ht="13.5" customHeight="1">
      <c r="A15" s="132">
        <v>5</v>
      </c>
      <c r="B15" s="209" t="s">
        <v>244</v>
      </c>
      <c r="C15" s="176">
        <v>7130820216</v>
      </c>
      <c r="D15" s="132" t="s">
        <v>26</v>
      </c>
      <c r="E15" s="382">
        <f>VLOOKUP(C15,'SOR RATE'!A:D,4,0)</f>
        <v>34</v>
      </c>
      <c r="F15" s="132">
        <v>22</v>
      </c>
      <c r="G15" s="140">
        <f>F15*E15</f>
        <v>748</v>
      </c>
      <c r="H15" s="132">
        <v>22</v>
      </c>
      <c r="I15" s="140">
        <f>H15*E15</f>
        <v>748</v>
      </c>
      <c r="J15" s="132">
        <v>22</v>
      </c>
      <c r="K15" s="140">
        <f>J15*E15</f>
        <v>748</v>
      </c>
    </row>
    <row r="16" spans="1:11" ht="13.5" customHeight="1">
      <c r="A16" s="810">
        <v>6</v>
      </c>
      <c r="B16" s="254" t="s">
        <v>245</v>
      </c>
      <c r="C16" s="383"/>
      <c r="D16" s="384"/>
      <c r="E16" s="384"/>
      <c r="F16" s="384"/>
      <c r="G16" s="384"/>
      <c r="H16" s="384"/>
      <c r="I16" s="384"/>
      <c r="J16" s="384"/>
      <c r="K16" s="385"/>
    </row>
    <row r="17" spans="1:11" ht="13.5" customHeight="1">
      <c r="A17" s="812"/>
      <c r="B17" s="209" t="s">
        <v>1324</v>
      </c>
      <c r="C17" s="176">
        <v>7130830057</v>
      </c>
      <c r="D17" s="130" t="s">
        <v>307</v>
      </c>
      <c r="E17" s="382">
        <f>VLOOKUP(C17,'SOR RATE'!A:D,4,0)/1000</f>
        <v>33.544</v>
      </c>
      <c r="F17" s="132">
        <v>1030</v>
      </c>
      <c r="G17" s="140">
        <f aca="true" t="shared" si="0" ref="G17:G22">F17*E17</f>
        <v>34550.32</v>
      </c>
      <c r="H17" s="207" t="s">
        <v>27</v>
      </c>
      <c r="I17" s="207" t="s">
        <v>27</v>
      </c>
      <c r="J17" s="207" t="s">
        <v>27</v>
      </c>
      <c r="K17" s="207" t="s">
        <v>27</v>
      </c>
    </row>
    <row r="18" spans="1:11" ht="13.5" customHeight="1">
      <c r="A18" s="812"/>
      <c r="B18" s="209" t="s">
        <v>1325</v>
      </c>
      <c r="C18" s="176">
        <v>7130830055</v>
      </c>
      <c r="D18" s="130" t="s">
        <v>307</v>
      </c>
      <c r="E18" s="382">
        <f>VLOOKUP(C18,'SOR RATE'!A:D,4,0)/1000</f>
        <v>20.281</v>
      </c>
      <c r="F18" s="132">
        <v>1030</v>
      </c>
      <c r="G18" s="140">
        <f t="shared" si="0"/>
        <v>20889.43</v>
      </c>
      <c r="H18" s="133">
        <v>2060</v>
      </c>
      <c r="I18" s="140">
        <f>H18*E18</f>
        <v>41778.86</v>
      </c>
      <c r="J18" s="207" t="s">
        <v>27</v>
      </c>
      <c r="K18" s="207" t="s">
        <v>27</v>
      </c>
    </row>
    <row r="19" spans="1:11" ht="13.5" customHeight="1">
      <c r="A19" s="811"/>
      <c r="B19" s="209" t="s">
        <v>1326</v>
      </c>
      <c r="C19" s="176">
        <v>7130830053</v>
      </c>
      <c r="D19" s="130" t="s">
        <v>307</v>
      </c>
      <c r="E19" s="382">
        <f>VLOOKUP(C19,'SOR RATE'!A:D,4,0)/1000</f>
        <v>13.002</v>
      </c>
      <c r="F19" s="132">
        <v>1030</v>
      </c>
      <c r="G19" s="140">
        <f t="shared" si="0"/>
        <v>13392.060000000001</v>
      </c>
      <c r="H19" s="386">
        <v>1030</v>
      </c>
      <c r="I19" s="140">
        <f>H19*E19</f>
        <v>13392.060000000001</v>
      </c>
      <c r="J19" s="386">
        <v>3090</v>
      </c>
      <c r="K19" s="140">
        <f>J19*E19</f>
        <v>40176.18</v>
      </c>
    </row>
    <row r="20" spans="1:11" ht="13.5" customHeight="1">
      <c r="A20" s="810">
        <v>7</v>
      </c>
      <c r="B20" s="209" t="s">
        <v>776</v>
      </c>
      <c r="C20" s="176">
        <v>7130860032</v>
      </c>
      <c r="D20" s="130" t="s">
        <v>26</v>
      </c>
      <c r="E20" s="382">
        <f>VLOOKUP(C20,'SOR RATE'!A:D,4,0)</f>
        <v>387</v>
      </c>
      <c r="F20" s="132">
        <v>9</v>
      </c>
      <c r="G20" s="140">
        <f t="shared" si="0"/>
        <v>3483</v>
      </c>
      <c r="H20" s="132">
        <v>9</v>
      </c>
      <c r="I20" s="140">
        <f>H20*E20</f>
        <v>3483</v>
      </c>
      <c r="J20" s="132">
        <v>9</v>
      </c>
      <c r="K20" s="140">
        <f>J20*E20</f>
        <v>3483</v>
      </c>
    </row>
    <row r="21" spans="1:11" ht="13.5" customHeight="1">
      <c r="A21" s="812"/>
      <c r="B21" s="209" t="s">
        <v>1327</v>
      </c>
      <c r="C21" s="176">
        <v>7130860077</v>
      </c>
      <c r="D21" s="130" t="s">
        <v>32</v>
      </c>
      <c r="E21" s="382">
        <f>VLOOKUP(C21,'SOR RATE'!A:D,4,0)/1000</f>
        <v>61.6</v>
      </c>
      <c r="F21" s="130">
        <v>54</v>
      </c>
      <c r="G21" s="140">
        <f t="shared" si="0"/>
        <v>3326.4</v>
      </c>
      <c r="H21" s="130">
        <v>54</v>
      </c>
      <c r="I21" s="140">
        <f>H21*E21</f>
        <v>3326.4</v>
      </c>
      <c r="J21" s="130">
        <v>54</v>
      </c>
      <c r="K21" s="140">
        <f>J21*E21</f>
        <v>3326.4</v>
      </c>
    </row>
    <row r="22" spans="1:11" ht="13.5" customHeight="1">
      <c r="A22" s="811"/>
      <c r="B22" s="209" t="s">
        <v>782</v>
      </c>
      <c r="C22" s="176">
        <v>7130810026</v>
      </c>
      <c r="D22" s="130" t="s">
        <v>26</v>
      </c>
      <c r="E22" s="382">
        <f>VLOOKUP(C22,'SOR RATE'!A:D,4,0)</f>
        <v>142</v>
      </c>
      <c r="F22" s="130">
        <v>9</v>
      </c>
      <c r="G22" s="140">
        <f t="shared" si="0"/>
        <v>1278</v>
      </c>
      <c r="H22" s="130">
        <v>9</v>
      </c>
      <c r="I22" s="140">
        <f>H22*E22</f>
        <v>1278</v>
      </c>
      <c r="J22" s="130">
        <v>9</v>
      </c>
      <c r="K22" s="140">
        <f>J22*E22</f>
        <v>1278</v>
      </c>
    </row>
    <row r="23" spans="1:11" ht="42.75" customHeight="1">
      <c r="A23" s="810">
        <v>8</v>
      </c>
      <c r="B23" s="135" t="s">
        <v>246</v>
      </c>
      <c r="C23" s="131"/>
      <c r="D23" s="136" t="s">
        <v>1331</v>
      </c>
      <c r="E23" s="177"/>
      <c r="F23" s="132"/>
      <c r="G23" s="140"/>
      <c r="H23" s="132"/>
      <c r="I23" s="140"/>
      <c r="J23" s="132"/>
      <c r="K23" s="140"/>
    </row>
    <row r="24" spans="1:11" ht="16.5" customHeight="1">
      <c r="A24" s="811"/>
      <c r="B24" s="726" t="s">
        <v>197</v>
      </c>
      <c r="C24" s="176">
        <v>7130200401</v>
      </c>
      <c r="D24" s="132" t="s">
        <v>32</v>
      </c>
      <c r="E24" s="382">
        <f>VLOOKUP(C24,'SOR RATE'!A:D,4,0)/50</f>
        <v>5.36</v>
      </c>
      <c r="F24" s="132">
        <v>2100</v>
      </c>
      <c r="G24" s="140">
        <f>F24*E24</f>
        <v>11256</v>
      </c>
      <c r="H24" s="132">
        <v>2100</v>
      </c>
      <c r="I24" s="140">
        <f>H24*E24</f>
        <v>11256</v>
      </c>
      <c r="J24" s="132">
        <v>2100</v>
      </c>
      <c r="K24" s="140">
        <f>J24*E24</f>
        <v>11256</v>
      </c>
    </row>
    <row r="25" spans="1:11" ht="16.5" customHeight="1">
      <c r="A25" s="208">
        <v>9</v>
      </c>
      <c r="B25" s="387" t="s">
        <v>1334</v>
      </c>
      <c r="C25" s="176">
        <v>7130870013</v>
      </c>
      <c r="D25" s="208" t="s">
        <v>26</v>
      </c>
      <c r="E25" s="382">
        <f>VLOOKUP(C25,'SOR RATE'!A:D,4,0)</f>
        <v>100</v>
      </c>
      <c r="F25" s="208">
        <v>7</v>
      </c>
      <c r="G25" s="140">
        <f>F25*E25</f>
        <v>700</v>
      </c>
      <c r="H25" s="208">
        <v>7</v>
      </c>
      <c r="I25" s="140">
        <f>H25*E25</f>
        <v>700</v>
      </c>
      <c r="J25" s="208">
        <v>7</v>
      </c>
      <c r="K25" s="140">
        <f>J25*E25</f>
        <v>700</v>
      </c>
    </row>
    <row r="26" spans="1:11" ht="12.75">
      <c r="A26" s="132">
        <v>10</v>
      </c>
      <c r="B26" s="209" t="s">
        <v>419</v>
      </c>
      <c r="C26" s="176">
        <v>7130820018</v>
      </c>
      <c r="D26" s="132" t="s">
        <v>1009</v>
      </c>
      <c r="E26" s="382">
        <f>VLOOKUP(C26,'SOR RATE'!A:D,4,0)</f>
        <v>3</v>
      </c>
      <c r="F26" s="132">
        <v>60</v>
      </c>
      <c r="G26" s="140">
        <f>F26*E26</f>
        <v>180</v>
      </c>
      <c r="H26" s="132">
        <v>60</v>
      </c>
      <c r="I26" s="140">
        <f>H26*E26</f>
        <v>180</v>
      </c>
      <c r="J26" s="132">
        <v>60</v>
      </c>
      <c r="K26" s="140">
        <f>J26*E26</f>
        <v>180</v>
      </c>
    </row>
    <row r="27" spans="1:11" ht="12.75">
      <c r="A27" s="810">
        <v>11</v>
      </c>
      <c r="B27" s="209" t="s">
        <v>896</v>
      </c>
      <c r="C27" s="131"/>
      <c r="D27" s="132" t="s">
        <v>32</v>
      </c>
      <c r="E27" s="382"/>
      <c r="F27" s="132">
        <v>20</v>
      </c>
      <c r="G27" s="140"/>
      <c r="H27" s="132">
        <v>20</v>
      </c>
      <c r="I27" s="140"/>
      <c r="J27" s="132">
        <v>20</v>
      </c>
      <c r="K27" s="140"/>
    </row>
    <row r="28" spans="1:11" ht="12.75">
      <c r="A28" s="812"/>
      <c r="B28" s="223" t="s">
        <v>1333</v>
      </c>
      <c r="C28" s="176">
        <v>7130620573</v>
      </c>
      <c r="D28" s="132" t="s">
        <v>32</v>
      </c>
      <c r="E28" s="382">
        <f>VLOOKUP(C28,'SOR RATE'!A:D,4,0)</f>
        <v>64</v>
      </c>
      <c r="F28" s="132">
        <v>7</v>
      </c>
      <c r="G28" s="140">
        <f aca="true" t="shared" si="1" ref="G28:G34">F28*E28</f>
        <v>448</v>
      </c>
      <c r="H28" s="132">
        <v>7</v>
      </c>
      <c r="I28" s="140">
        <f aca="true" t="shared" si="2" ref="I28:I34">H28*E28</f>
        <v>448</v>
      </c>
      <c r="J28" s="132">
        <v>7</v>
      </c>
      <c r="K28" s="140">
        <f aca="true" t="shared" si="3" ref="K28:K34">J28*E28</f>
        <v>448</v>
      </c>
    </row>
    <row r="29" spans="1:11" ht="12.75">
      <c r="A29" s="812"/>
      <c r="B29" s="223" t="s">
        <v>1017</v>
      </c>
      <c r="C29" s="176">
        <v>7130620609</v>
      </c>
      <c r="D29" s="132" t="s">
        <v>32</v>
      </c>
      <c r="E29" s="382">
        <f>VLOOKUP(C29,'SOR RATE'!A:D,4,0)</f>
        <v>64</v>
      </c>
      <c r="F29" s="132">
        <v>3</v>
      </c>
      <c r="G29" s="140">
        <f t="shared" si="1"/>
        <v>192</v>
      </c>
      <c r="H29" s="132">
        <v>3</v>
      </c>
      <c r="I29" s="140">
        <f t="shared" si="2"/>
        <v>192</v>
      </c>
      <c r="J29" s="132">
        <v>3</v>
      </c>
      <c r="K29" s="140">
        <f t="shared" si="3"/>
        <v>192</v>
      </c>
    </row>
    <row r="30" spans="1:11" ht="15" customHeight="1">
      <c r="A30" s="811"/>
      <c r="B30" s="223" t="s">
        <v>192</v>
      </c>
      <c r="C30" s="176">
        <v>7130620614</v>
      </c>
      <c r="D30" s="132" t="s">
        <v>32</v>
      </c>
      <c r="E30" s="382">
        <f>VLOOKUP(C30,'SOR RATE'!A:D,4,0)</f>
        <v>63</v>
      </c>
      <c r="F30" s="132">
        <v>10</v>
      </c>
      <c r="G30" s="140">
        <f t="shared" si="1"/>
        <v>630</v>
      </c>
      <c r="H30" s="132">
        <v>10</v>
      </c>
      <c r="I30" s="140">
        <f t="shared" si="2"/>
        <v>630</v>
      </c>
      <c r="J30" s="132">
        <v>10</v>
      </c>
      <c r="K30" s="140">
        <f t="shared" si="3"/>
        <v>630</v>
      </c>
    </row>
    <row r="31" spans="1:11" ht="15" customHeight="1">
      <c r="A31" s="132">
        <v>12</v>
      </c>
      <c r="B31" s="209" t="s">
        <v>950</v>
      </c>
      <c r="C31" s="176">
        <v>7130830006</v>
      </c>
      <c r="D31" s="132" t="s">
        <v>32</v>
      </c>
      <c r="E31" s="382">
        <f>VLOOKUP(C31,'SOR RATE'!A:D,4,0)</f>
        <v>139</v>
      </c>
      <c r="F31" s="132">
        <v>3</v>
      </c>
      <c r="G31" s="140">
        <f t="shared" si="1"/>
        <v>417</v>
      </c>
      <c r="H31" s="132">
        <v>3</v>
      </c>
      <c r="I31" s="140">
        <f t="shared" si="2"/>
        <v>417</v>
      </c>
      <c r="J31" s="132">
        <v>3</v>
      </c>
      <c r="K31" s="140">
        <f t="shared" si="3"/>
        <v>417</v>
      </c>
    </row>
    <row r="32" spans="1:11" ht="12.75">
      <c r="A32" s="132">
        <v>13</v>
      </c>
      <c r="B32" s="209" t="s">
        <v>31</v>
      </c>
      <c r="C32" s="176">
        <v>7130210809</v>
      </c>
      <c r="D32" s="132" t="s">
        <v>30</v>
      </c>
      <c r="E32" s="382">
        <f>VLOOKUP(C32,'SOR RATE'!A:D,4,0)</f>
        <v>290</v>
      </c>
      <c r="F32" s="132">
        <v>5</v>
      </c>
      <c r="G32" s="140">
        <f t="shared" si="1"/>
        <v>1450</v>
      </c>
      <c r="H32" s="132">
        <v>5</v>
      </c>
      <c r="I32" s="140">
        <f t="shared" si="2"/>
        <v>1450</v>
      </c>
      <c r="J32" s="132">
        <v>5</v>
      </c>
      <c r="K32" s="140">
        <f t="shared" si="3"/>
        <v>1450</v>
      </c>
    </row>
    <row r="33" spans="1:11" ht="12.75">
      <c r="A33" s="132">
        <v>14</v>
      </c>
      <c r="B33" s="209" t="s">
        <v>29</v>
      </c>
      <c r="C33" s="176">
        <v>7130211158</v>
      </c>
      <c r="D33" s="132" t="s">
        <v>30</v>
      </c>
      <c r="E33" s="382">
        <f>VLOOKUP(C33,'SOR RATE'!A:D,4,0)</f>
        <v>130</v>
      </c>
      <c r="F33" s="132">
        <v>5</v>
      </c>
      <c r="G33" s="140">
        <f t="shared" si="1"/>
        <v>650</v>
      </c>
      <c r="H33" s="132">
        <v>5</v>
      </c>
      <c r="I33" s="140">
        <f t="shared" si="2"/>
        <v>650</v>
      </c>
      <c r="J33" s="132">
        <v>5</v>
      </c>
      <c r="K33" s="140">
        <f t="shared" si="3"/>
        <v>650</v>
      </c>
    </row>
    <row r="34" spans="1:11" ht="12.75">
      <c r="A34" s="132">
        <v>15</v>
      </c>
      <c r="B34" s="209" t="s">
        <v>1335</v>
      </c>
      <c r="C34" s="176">
        <v>7130870043</v>
      </c>
      <c r="D34" s="132" t="s">
        <v>32</v>
      </c>
      <c r="E34" s="382">
        <f>VLOOKUP(C34,'SOR RATE'!A:D,4,0)/1000</f>
        <v>55.094</v>
      </c>
      <c r="F34" s="132">
        <v>5</v>
      </c>
      <c r="G34" s="140">
        <f t="shared" si="1"/>
        <v>275.47</v>
      </c>
      <c r="H34" s="132">
        <v>5</v>
      </c>
      <c r="I34" s="140">
        <f t="shared" si="2"/>
        <v>275.47</v>
      </c>
      <c r="J34" s="132">
        <v>5</v>
      </c>
      <c r="K34" s="140">
        <f t="shared" si="3"/>
        <v>275.47</v>
      </c>
    </row>
    <row r="35" spans="1:13" ht="15" customHeight="1">
      <c r="A35" s="137">
        <v>16</v>
      </c>
      <c r="B35" s="107" t="s">
        <v>937</v>
      </c>
      <c r="C35" s="137"/>
      <c r="D35" s="137"/>
      <c r="E35" s="137"/>
      <c r="F35" s="137"/>
      <c r="G35" s="139">
        <f>SUM(G11:G34)</f>
        <v>230188.57692</v>
      </c>
      <c r="H35" s="139"/>
      <c r="I35" s="139">
        <f>SUM(I11:I34)</f>
        <v>216527.68692</v>
      </c>
      <c r="J35" s="139"/>
      <c r="K35" s="139">
        <f>SUM(K11:K34)</f>
        <v>201532.94692</v>
      </c>
      <c r="L35" s="193"/>
      <c r="M35" s="19"/>
    </row>
    <row r="36" spans="1:13" ht="15" customHeight="1">
      <c r="A36" s="208">
        <v>17</v>
      </c>
      <c r="B36" s="100" t="s">
        <v>936</v>
      </c>
      <c r="C36" s="254"/>
      <c r="D36" s="255"/>
      <c r="E36" s="132">
        <v>0.09</v>
      </c>
      <c r="F36" s="132"/>
      <c r="G36" s="140">
        <f>G35*E36</f>
        <v>20716.9719228</v>
      </c>
      <c r="H36" s="140"/>
      <c r="I36" s="140">
        <f>I35*E36</f>
        <v>19487.4918228</v>
      </c>
      <c r="J36" s="140"/>
      <c r="K36" s="140">
        <f>K35*E36</f>
        <v>18137.965222799998</v>
      </c>
      <c r="L36" s="193"/>
      <c r="M36" s="252"/>
    </row>
    <row r="37" spans="1:11" ht="15" customHeight="1">
      <c r="A37" s="256" t="s">
        <v>237</v>
      </c>
      <c r="B37" s="225" t="s">
        <v>310</v>
      </c>
      <c r="C37" s="256"/>
      <c r="D37" s="256" t="s">
        <v>28</v>
      </c>
      <c r="E37" s="102">
        <f>1664*1.27*1.0891*1.086275*1.1112*1.0685</f>
        <v>2968.460981603261</v>
      </c>
      <c r="F37" s="102">
        <v>10.1</v>
      </c>
      <c r="G37" s="170">
        <f>F37*E37</f>
        <v>29981.45591419294</v>
      </c>
      <c r="H37" s="388">
        <v>10.1</v>
      </c>
      <c r="I37" s="388">
        <f>H37*E37</f>
        <v>29981.45591419294</v>
      </c>
      <c r="J37" s="102">
        <v>10.1</v>
      </c>
      <c r="K37" s="102">
        <f>J37*E37</f>
        <v>29981.45591419294</v>
      </c>
    </row>
    <row r="38" spans="1:12" ht="18">
      <c r="A38" s="136">
        <v>19</v>
      </c>
      <c r="B38" s="134" t="s">
        <v>411</v>
      </c>
      <c r="C38" s="136"/>
      <c r="D38" s="136"/>
      <c r="E38" s="109"/>
      <c r="F38" s="136"/>
      <c r="G38" s="109">
        <v>33376.36</v>
      </c>
      <c r="H38" s="136"/>
      <c r="I38" s="109">
        <f>+G38</f>
        <v>33376.36</v>
      </c>
      <c r="J38" s="136"/>
      <c r="K38" s="109">
        <f>+I38</f>
        <v>33376.36</v>
      </c>
      <c r="L38" s="336"/>
    </row>
    <row r="39" spans="1:11" ht="43.5" customHeight="1">
      <c r="A39" s="136">
        <v>20</v>
      </c>
      <c r="B39" s="134" t="s">
        <v>412</v>
      </c>
      <c r="C39" s="136"/>
      <c r="D39" s="136"/>
      <c r="E39" s="109"/>
      <c r="F39" s="136"/>
      <c r="G39" s="109">
        <f>1.1*1.1*4494*1.2*1.1*1.1797*1.1402*0.9368</f>
        <v>9044.652126087229</v>
      </c>
      <c r="H39" s="136"/>
      <c r="I39" s="109">
        <f>1.1*1.1*4494*1.2*1.1*1.1797*1.1402*0.9368</f>
        <v>9044.652126087229</v>
      </c>
      <c r="J39" s="136"/>
      <c r="K39" s="109">
        <f>1.1*1.1*4494*1.2*1.1*1.1797*1.1402*0.9368</f>
        <v>9044.652126087229</v>
      </c>
    </row>
    <row r="40" spans="1:12" ht="15.75" customHeight="1">
      <c r="A40" s="40">
        <v>21</v>
      </c>
      <c r="B40" s="107" t="s">
        <v>938</v>
      </c>
      <c r="C40" s="136"/>
      <c r="D40" s="136"/>
      <c r="E40" s="109"/>
      <c r="F40" s="136"/>
      <c r="G40" s="41">
        <f>G35+G36+G37+G38+G39</f>
        <v>323308.0168830801</v>
      </c>
      <c r="H40" s="40"/>
      <c r="I40" s="41">
        <f>I35+I36+I37+I38+I39</f>
        <v>308417.6467830801</v>
      </c>
      <c r="J40" s="40"/>
      <c r="K40" s="41">
        <f>K35+K36+K37+K38+K39</f>
        <v>292073.38018308015</v>
      </c>
      <c r="L40" s="195"/>
    </row>
    <row r="41" spans="1:12" ht="31.5" customHeight="1">
      <c r="A41" s="136">
        <v>22</v>
      </c>
      <c r="B41" s="100" t="s">
        <v>939</v>
      </c>
      <c r="C41" s="136"/>
      <c r="D41" s="136"/>
      <c r="E41" s="109">
        <v>0.11</v>
      </c>
      <c r="F41" s="136"/>
      <c r="G41" s="109">
        <f>G35*E41</f>
        <v>25320.7434612</v>
      </c>
      <c r="H41" s="136"/>
      <c r="I41" s="109">
        <f>I35*E41</f>
        <v>23818.0455612</v>
      </c>
      <c r="J41" s="136"/>
      <c r="K41" s="109">
        <f>K35*E41</f>
        <v>22168.624161199998</v>
      </c>
      <c r="L41" s="195"/>
    </row>
    <row r="42" spans="1:13" ht="12.75">
      <c r="A42" s="136">
        <v>23</v>
      </c>
      <c r="B42" s="134" t="s">
        <v>1338</v>
      </c>
      <c r="C42" s="136"/>
      <c r="D42" s="136"/>
      <c r="E42" s="109"/>
      <c r="F42" s="136"/>
      <c r="G42" s="109">
        <f>G40+G41</f>
        <v>348628.7603442801</v>
      </c>
      <c r="H42" s="109"/>
      <c r="I42" s="109">
        <f>I40+I41</f>
        <v>332235.69234428013</v>
      </c>
      <c r="J42" s="109"/>
      <c r="K42" s="109">
        <f>K40+K41</f>
        <v>314242.00434428017</v>
      </c>
      <c r="M42" s="171"/>
    </row>
    <row r="43" spans="1:11" ht="28.5" customHeight="1">
      <c r="A43" s="40">
        <v>24</v>
      </c>
      <c r="B43" s="108" t="s">
        <v>1339</v>
      </c>
      <c r="C43" s="40"/>
      <c r="D43" s="40"/>
      <c r="E43" s="41"/>
      <c r="F43" s="40"/>
      <c r="G43" s="139">
        <f>ROUND(G42,0)</f>
        <v>348629</v>
      </c>
      <c r="H43" s="40"/>
      <c r="I43" s="139">
        <f>ROUND(I42,0)</f>
        <v>332236</v>
      </c>
      <c r="J43" s="40"/>
      <c r="K43" s="139">
        <f>ROUND(K42,0)</f>
        <v>314242</v>
      </c>
    </row>
  </sheetData>
  <sheetProtection/>
  <mergeCells count="14">
    <mergeCell ref="C1:G1"/>
    <mergeCell ref="J6:K8"/>
    <mergeCell ref="A16:A19"/>
    <mergeCell ref="A20:A22"/>
    <mergeCell ref="A23:A24"/>
    <mergeCell ref="A27:A30"/>
    <mergeCell ref="B3:I3"/>
    <mergeCell ref="A6:A9"/>
    <mergeCell ref="B6:B9"/>
    <mergeCell ref="C6:C9"/>
    <mergeCell ref="D6:D9"/>
    <mergeCell ref="E6:E9"/>
    <mergeCell ref="F6:G8"/>
    <mergeCell ref="H6:I8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82" right="0.28" top="0.85" bottom="0.23" header="0.65" footer="0.16"/>
  <pageSetup fitToHeight="2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W125"/>
  <sheetViews>
    <sheetView zoomScale="85" zoomScaleNormal="8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57421875" style="389" customWidth="1"/>
    <col min="2" max="2" width="43.00390625" style="392" customWidth="1"/>
    <col min="3" max="3" width="12.8515625" style="392" customWidth="1"/>
    <col min="4" max="4" width="5.8515625" style="392" customWidth="1"/>
    <col min="5" max="5" width="10.140625" style="392" bestFit="1" customWidth="1"/>
    <col min="6" max="6" width="5.57421875" style="392" customWidth="1"/>
    <col min="7" max="7" width="11.00390625" style="392" customWidth="1"/>
    <col min="8" max="8" width="5.57421875" style="392" customWidth="1"/>
    <col min="9" max="9" width="11.00390625" style="392" customWidth="1"/>
    <col min="10" max="10" width="8.57421875" style="392" customWidth="1"/>
    <col min="11" max="11" width="11.00390625" style="392" customWidth="1"/>
    <col min="12" max="12" width="8.57421875" style="392" customWidth="1"/>
    <col min="13" max="13" width="11.140625" style="392" customWidth="1"/>
    <col min="14" max="14" width="5.57421875" style="392" customWidth="1"/>
    <col min="15" max="15" width="12.57421875" style="392" bestFit="1" customWidth="1"/>
    <col min="16" max="16" width="5.57421875" style="392" customWidth="1"/>
    <col min="17" max="17" width="11.140625" style="392" customWidth="1"/>
    <col min="18" max="18" width="14.57421875" style="392" customWidth="1"/>
    <col min="19" max="19" width="12.421875" style="392" customWidth="1"/>
    <col min="20" max="20" width="9.7109375" style="392" customWidth="1"/>
    <col min="21" max="21" width="10.28125" style="392" customWidth="1"/>
    <col min="22" max="16384" width="9.140625" style="392" customWidth="1"/>
  </cols>
  <sheetData>
    <row r="1" spans="2:21" ht="18.75" customHeight="1">
      <c r="B1" s="390"/>
      <c r="C1" s="390"/>
      <c r="D1" s="816" t="s">
        <v>247</v>
      </c>
      <c r="E1" s="816"/>
      <c r="F1" s="816"/>
      <c r="G1" s="816"/>
      <c r="H1" s="816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391"/>
      <c r="T1" s="391"/>
      <c r="U1" s="391"/>
    </row>
    <row r="2" spans="2:21" ht="18.75" customHeight="1">
      <c r="B2" s="390"/>
      <c r="C2" s="390"/>
      <c r="D2" s="393"/>
      <c r="E2" s="393"/>
      <c r="F2" s="393"/>
      <c r="G2" s="393"/>
      <c r="H2" s="393"/>
      <c r="I2" s="390"/>
      <c r="J2" s="390"/>
      <c r="K2" s="390"/>
      <c r="L2" s="390"/>
      <c r="M2" s="390"/>
      <c r="N2" s="390"/>
      <c r="O2" s="390"/>
      <c r="P2" s="390"/>
      <c r="Q2" s="390"/>
      <c r="R2" s="391"/>
      <c r="S2" s="391"/>
      <c r="T2" s="391"/>
      <c r="U2" s="391"/>
    </row>
    <row r="3" spans="2:21" ht="48.75" customHeight="1">
      <c r="B3" s="781" t="s">
        <v>1041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317"/>
      <c r="N3" s="317"/>
      <c r="O3" s="317"/>
      <c r="P3" s="317"/>
      <c r="Q3" s="317"/>
      <c r="R3" s="394"/>
      <c r="S3" s="394"/>
      <c r="T3" s="394"/>
      <c r="U3" s="394"/>
    </row>
    <row r="4" spans="1:13" ht="12" customHeigh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7" ht="18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P5" s="817" t="s">
        <v>1003</v>
      </c>
      <c r="Q5" s="817"/>
    </row>
    <row r="6" spans="1:17" ht="50.25" customHeight="1">
      <c r="A6" s="818" t="s">
        <v>191</v>
      </c>
      <c r="B6" s="818" t="s">
        <v>23</v>
      </c>
      <c r="C6" s="818" t="s">
        <v>698</v>
      </c>
      <c r="D6" s="818" t="s">
        <v>24</v>
      </c>
      <c r="E6" s="818" t="s">
        <v>1010</v>
      </c>
      <c r="F6" s="821" t="s">
        <v>1042</v>
      </c>
      <c r="G6" s="821"/>
      <c r="H6" s="821"/>
      <c r="I6" s="821"/>
      <c r="J6" s="821" t="s">
        <v>1043</v>
      </c>
      <c r="K6" s="821"/>
      <c r="L6" s="821"/>
      <c r="M6" s="821"/>
      <c r="N6" s="821" t="s">
        <v>1044</v>
      </c>
      <c r="O6" s="821"/>
      <c r="P6" s="821"/>
      <c r="Q6" s="821"/>
    </row>
    <row r="7" spans="1:17" ht="79.5" customHeight="1">
      <c r="A7" s="819"/>
      <c r="B7" s="819"/>
      <c r="C7" s="819"/>
      <c r="D7" s="819"/>
      <c r="E7" s="819"/>
      <c r="F7" s="822" t="s">
        <v>1045</v>
      </c>
      <c r="G7" s="823"/>
      <c r="H7" s="824" t="s">
        <v>1046</v>
      </c>
      <c r="I7" s="825"/>
      <c r="J7" s="824" t="s">
        <v>1045</v>
      </c>
      <c r="K7" s="825"/>
      <c r="L7" s="824" t="s">
        <v>1046</v>
      </c>
      <c r="M7" s="825"/>
      <c r="N7" s="824" t="s">
        <v>1045</v>
      </c>
      <c r="O7" s="825"/>
      <c r="P7" s="824" t="s">
        <v>1046</v>
      </c>
      <c r="Q7" s="825"/>
    </row>
    <row r="8" spans="1:19" ht="21" customHeight="1">
      <c r="A8" s="820"/>
      <c r="B8" s="820"/>
      <c r="C8" s="820"/>
      <c r="D8" s="820"/>
      <c r="E8" s="820"/>
      <c r="F8" s="398" t="s">
        <v>309</v>
      </c>
      <c r="G8" s="398" t="s">
        <v>1047</v>
      </c>
      <c r="H8" s="398" t="s">
        <v>309</v>
      </c>
      <c r="I8" s="398" t="s">
        <v>1047</v>
      </c>
      <c r="J8" s="398" t="s">
        <v>309</v>
      </c>
      <c r="K8" s="398" t="s">
        <v>1047</v>
      </c>
      <c r="L8" s="398" t="s">
        <v>309</v>
      </c>
      <c r="M8" s="398" t="s">
        <v>1047</v>
      </c>
      <c r="N8" s="398" t="s">
        <v>309</v>
      </c>
      <c r="O8" s="398" t="s">
        <v>1047</v>
      </c>
      <c r="P8" s="398" t="s">
        <v>309</v>
      </c>
      <c r="Q8" s="398" t="s">
        <v>1047</v>
      </c>
      <c r="S8" s="399"/>
    </row>
    <row r="9" spans="1:19" ht="15">
      <c r="A9" s="400" t="s">
        <v>892</v>
      </c>
      <c r="B9" s="400" t="s">
        <v>893</v>
      </c>
      <c r="C9" s="401">
        <v>3</v>
      </c>
      <c r="D9" s="400">
        <v>4</v>
      </c>
      <c r="E9" s="400">
        <v>5</v>
      </c>
      <c r="F9" s="400">
        <v>6</v>
      </c>
      <c r="G9" s="400">
        <v>7</v>
      </c>
      <c r="H9" s="400">
        <v>8</v>
      </c>
      <c r="I9" s="400">
        <v>9</v>
      </c>
      <c r="J9" s="400">
        <v>6</v>
      </c>
      <c r="K9" s="400">
        <v>7</v>
      </c>
      <c r="L9" s="400">
        <v>8</v>
      </c>
      <c r="M9" s="400">
        <v>9</v>
      </c>
      <c r="N9" s="400">
        <v>6</v>
      </c>
      <c r="O9" s="400">
        <v>7</v>
      </c>
      <c r="P9" s="400">
        <v>8</v>
      </c>
      <c r="Q9" s="400">
        <v>9</v>
      </c>
      <c r="S9" s="399"/>
    </row>
    <row r="10" spans="1:19" ht="46.5" customHeight="1">
      <c r="A10" s="402" t="s">
        <v>1048</v>
      </c>
      <c r="B10" s="403" t="s">
        <v>1049</v>
      </c>
      <c r="C10" s="91">
        <v>7130600675</v>
      </c>
      <c r="D10" s="402" t="s">
        <v>32</v>
      </c>
      <c r="E10" s="404">
        <f>VLOOKUP(C10,'SOR RATE'!A:D,4,0)/1000</f>
        <v>44.989</v>
      </c>
      <c r="F10" s="402"/>
      <c r="G10" s="404"/>
      <c r="H10" s="402"/>
      <c r="I10" s="405"/>
      <c r="J10" s="404">
        <v>3626.07</v>
      </c>
      <c r="K10" s="404">
        <f>J10*E10</f>
        <v>163133.26323</v>
      </c>
      <c r="L10" s="404">
        <v>3626.07</v>
      </c>
      <c r="M10" s="406">
        <f>L10*E10</f>
        <v>163133.26323</v>
      </c>
      <c r="N10" s="402"/>
      <c r="O10" s="404"/>
      <c r="P10" s="402"/>
      <c r="Q10" s="405"/>
      <c r="R10" s="407"/>
      <c r="S10" s="408"/>
    </row>
    <row r="11" spans="1:19" ht="49.5" customHeight="1">
      <c r="A11" s="402" t="s">
        <v>755</v>
      </c>
      <c r="B11" s="409" t="s">
        <v>330</v>
      </c>
      <c r="C11" s="91">
        <v>7130601958</v>
      </c>
      <c r="D11" s="402" t="s">
        <v>32</v>
      </c>
      <c r="E11" s="404">
        <f>VLOOKUP(C11,'SOR RATE'!A:D,4,0)/1000</f>
        <v>44.989</v>
      </c>
      <c r="F11" s="405"/>
      <c r="G11" s="410"/>
      <c r="H11" s="402"/>
      <c r="I11" s="406"/>
      <c r="J11" s="405"/>
      <c r="K11" s="404"/>
      <c r="L11" s="402"/>
      <c r="M11" s="405"/>
      <c r="N11" s="405">
        <v>6678</v>
      </c>
      <c r="O11" s="406">
        <f>N11*E11</f>
        <v>300436.54199999996</v>
      </c>
      <c r="P11" s="405">
        <f>+N11</f>
        <v>6678</v>
      </c>
      <c r="Q11" s="406">
        <f>P11*E11</f>
        <v>300436.54199999996</v>
      </c>
      <c r="R11" s="407"/>
      <c r="S11" s="408"/>
    </row>
    <row r="12" spans="1:23" ht="16.5" customHeight="1">
      <c r="A12" s="402" t="s">
        <v>331</v>
      </c>
      <c r="B12" s="411" t="s">
        <v>332</v>
      </c>
      <c r="C12" s="152">
        <v>7130800012</v>
      </c>
      <c r="D12" s="412" t="s">
        <v>26</v>
      </c>
      <c r="E12" s="404">
        <f>VLOOKUP(C12,'SOR RATE'!A:D,4,0)</f>
        <v>1654</v>
      </c>
      <c r="F12" s="405">
        <v>20</v>
      </c>
      <c r="G12" s="406">
        <f aca="true" t="shared" si="0" ref="G12:G20">F12*E12</f>
        <v>33080</v>
      </c>
      <c r="H12" s="405">
        <v>20</v>
      </c>
      <c r="I12" s="406">
        <f aca="true" t="shared" si="1" ref="I12:I18">H12*E12</f>
        <v>33080</v>
      </c>
      <c r="J12" s="405"/>
      <c r="K12" s="404"/>
      <c r="L12" s="405"/>
      <c r="M12" s="405"/>
      <c r="N12" s="405"/>
      <c r="O12" s="406"/>
      <c r="P12" s="405"/>
      <c r="Q12" s="406"/>
      <c r="R12" s="399"/>
      <c r="S12" s="408"/>
      <c r="W12" s="407"/>
    </row>
    <row r="13" spans="1:23" ht="47.25" customHeight="1">
      <c r="A13" s="402">
        <v>2</v>
      </c>
      <c r="B13" s="413" t="s">
        <v>1215</v>
      </c>
      <c r="C13" s="91">
        <v>7130797533</v>
      </c>
      <c r="D13" s="53" t="s">
        <v>26</v>
      </c>
      <c r="E13" s="404">
        <f>VLOOKUP(C13,'SOR RATE'!A:D,4,0)</f>
        <v>435</v>
      </c>
      <c r="F13" s="415">
        <v>22</v>
      </c>
      <c r="G13" s="416">
        <f t="shared" si="0"/>
        <v>9570</v>
      </c>
      <c r="H13" s="415">
        <v>22</v>
      </c>
      <c r="I13" s="416">
        <f t="shared" si="1"/>
        <v>9570</v>
      </c>
      <c r="J13" s="415">
        <v>22</v>
      </c>
      <c r="K13" s="417">
        <f aca="true" t="shared" si="2" ref="K13:K18">J13*E13</f>
        <v>9570</v>
      </c>
      <c r="L13" s="415">
        <v>22</v>
      </c>
      <c r="M13" s="416">
        <f aca="true" t="shared" si="3" ref="M13:M18">L13*E13</f>
        <v>9570</v>
      </c>
      <c r="N13" s="415">
        <v>22</v>
      </c>
      <c r="O13" s="416">
        <f aca="true" t="shared" si="4" ref="O13:O18">N13*E13</f>
        <v>9570</v>
      </c>
      <c r="P13" s="415">
        <v>22</v>
      </c>
      <c r="Q13" s="416">
        <f aca="true" t="shared" si="5" ref="Q13:Q18">P13*E13</f>
        <v>9570</v>
      </c>
      <c r="R13" s="751"/>
      <c r="S13" s="815" t="s">
        <v>1160</v>
      </c>
      <c r="T13" s="815"/>
      <c r="U13" s="815"/>
      <c r="V13" s="815"/>
      <c r="W13" s="407"/>
    </row>
    <row r="14" spans="1:23" ht="47.25" customHeight="1">
      <c r="A14" s="402" t="s">
        <v>312</v>
      </c>
      <c r="B14" s="729" t="s">
        <v>656</v>
      </c>
      <c r="C14" s="53">
        <v>7130390003</v>
      </c>
      <c r="D14" s="53" t="s">
        <v>26</v>
      </c>
      <c r="E14" s="404">
        <f>VLOOKUP(C14,'SOR RATE'!A:D,4,0)</f>
        <v>80</v>
      </c>
      <c r="F14" s="415">
        <v>30</v>
      </c>
      <c r="G14" s="416">
        <f t="shared" si="0"/>
        <v>2400</v>
      </c>
      <c r="H14" s="415">
        <v>30</v>
      </c>
      <c r="I14" s="416">
        <f t="shared" si="1"/>
        <v>2400</v>
      </c>
      <c r="J14" s="415">
        <v>30</v>
      </c>
      <c r="K14" s="417">
        <f t="shared" si="2"/>
        <v>2400</v>
      </c>
      <c r="L14" s="415">
        <v>30</v>
      </c>
      <c r="M14" s="416">
        <f t="shared" si="3"/>
        <v>2400</v>
      </c>
      <c r="N14" s="415">
        <v>30</v>
      </c>
      <c r="O14" s="416">
        <f t="shared" si="4"/>
        <v>2400</v>
      </c>
      <c r="P14" s="415">
        <v>30</v>
      </c>
      <c r="Q14" s="416">
        <f t="shared" si="5"/>
        <v>2400</v>
      </c>
      <c r="R14" s="751"/>
      <c r="S14" s="814" t="s">
        <v>835</v>
      </c>
      <c r="T14" s="814"/>
      <c r="U14" s="814"/>
      <c r="V14" s="814"/>
      <c r="W14" s="407"/>
    </row>
    <row r="15" spans="1:23" ht="45.75" customHeight="1">
      <c r="A15" s="402" t="s">
        <v>1005</v>
      </c>
      <c r="B15" s="729" t="s">
        <v>657</v>
      </c>
      <c r="C15" s="53">
        <v>7130390004</v>
      </c>
      <c r="D15" s="53" t="s">
        <v>26</v>
      </c>
      <c r="E15" s="404">
        <f>VLOOKUP(C15,'SOR RATE'!A:D,4,0)</f>
        <v>104</v>
      </c>
      <c r="F15" s="415">
        <v>45</v>
      </c>
      <c r="G15" s="416">
        <f t="shared" si="0"/>
        <v>4680</v>
      </c>
      <c r="H15" s="415">
        <v>45</v>
      </c>
      <c r="I15" s="416">
        <f t="shared" si="1"/>
        <v>4680</v>
      </c>
      <c r="J15" s="415">
        <v>45</v>
      </c>
      <c r="K15" s="417">
        <f t="shared" si="2"/>
        <v>4680</v>
      </c>
      <c r="L15" s="415">
        <v>45</v>
      </c>
      <c r="M15" s="416">
        <f t="shared" si="3"/>
        <v>4680</v>
      </c>
      <c r="N15" s="415">
        <v>45</v>
      </c>
      <c r="O15" s="416">
        <f t="shared" si="4"/>
        <v>4680</v>
      </c>
      <c r="P15" s="415">
        <v>45</v>
      </c>
      <c r="Q15" s="416">
        <f t="shared" si="5"/>
        <v>4680</v>
      </c>
      <c r="R15" s="751"/>
      <c r="S15" s="814" t="s">
        <v>836</v>
      </c>
      <c r="T15" s="814"/>
      <c r="U15" s="814"/>
      <c r="V15" s="814"/>
      <c r="W15" s="814"/>
    </row>
    <row r="16" spans="1:23" ht="31.5" customHeight="1">
      <c r="A16" s="402" t="s">
        <v>1006</v>
      </c>
      <c r="B16" s="729" t="s">
        <v>658</v>
      </c>
      <c r="C16" s="53">
        <v>7130390005</v>
      </c>
      <c r="D16" s="53" t="s">
        <v>26</v>
      </c>
      <c r="E16" s="404">
        <f>VLOOKUP(C16,'SOR RATE'!A:D,4,0)</f>
        <v>145</v>
      </c>
      <c r="F16" s="415">
        <v>24</v>
      </c>
      <c r="G16" s="416">
        <f t="shared" si="0"/>
        <v>3480</v>
      </c>
      <c r="H16" s="415">
        <v>24</v>
      </c>
      <c r="I16" s="416">
        <f t="shared" si="1"/>
        <v>3480</v>
      </c>
      <c r="J16" s="415">
        <v>24</v>
      </c>
      <c r="K16" s="417">
        <f t="shared" si="2"/>
        <v>3480</v>
      </c>
      <c r="L16" s="415">
        <v>24</v>
      </c>
      <c r="M16" s="416">
        <f t="shared" si="3"/>
        <v>3480</v>
      </c>
      <c r="N16" s="415">
        <v>24</v>
      </c>
      <c r="O16" s="416">
        <f t="shared" si="4"/>
        <v>3480</v>
      </c>
      <c r="P16" s="415">
        <v>24</v>
      </c>
      <c r="Q16" s="416">
        <f t="shared" si="5"/>
        <v>3480</v>
      </c>
      <c r="R16" s="751"/>
      <c r="S16" s="814" t="s">
        <v>837</v>
      </c>
      <c r="T16" s="814"/>
      <c r="U16" s="814"/>
      <c r="V16" s="814"/>
      <c r="W16" s="407"/>
    </row>
    <row r="17" spans="1:23" ht="21" customHeight="1">
      <c r="A17" s="402">
        <v>4</v>
      </c>
      <c r="B17" s="413" t="s">
        <v>313</v>
      </c>
      <c r="C17" s="86">
        <v>7130390006</v>
      </c>
      <c r="D17" s="53" t="s">
        <v>897</v>
      </c>
      <c r="E17" s="404">
        <f>VLOOKUP(C17,'SOR RATE'!A:D,4,0)</f>
        <v>149</v>
      </c>
      <c r="F17" s="415">
        <v>41</v>
      </c>
      <c r="G17" s="416">
        <f t="shared" si="0"/>
        <v>6109</v>
      </c>
      <c r="H17" s="415">
        <v>41</v>
      </c>
      <c r="I17" s="416">
        <f t="shared" si="1"/>
        <v>6109</v>
      </c>
      <c r="J17" s="415">
        <v>41</v>
      </c>
      <c r="K17" s="417">
        <f t="shared" si="2"/>
        <v>6109</v>
      </c>
      <c r="L17" s="415">
        <v>41</v>
      </c>
      <c r="M17" s="416">
        <f t="shared" si="3"/>
        <v>6109</v>
      </c>
      <c r="N17" s="415">
        <v>41</v>
      </c>
      <c r="O17" s="416">
        <f t="shared" si="4"/>
        <v>6109</v>
      </c>
      <c r="P17" s="415">
        <v>41</v>
      </c>
      <c r="Q17" s="416">
        <f t="shared" si="5"/>
        <v>6109</v>
      </c>
      <c r="R17" s="751"/>
      <c r="S17" s="408"/>
      <c r="W17" s="407"/>
    </row>
    <row r="18" spans="1:23" ht="48" customHeight="1">
      <c r="A18" s="402">
        <v>5</v>
      </c>
      <c r="B18" s="413" t="s">
        <v>1443</v>
      </c>
      <c r="C18" s="87">
        <v>7130797532</v>
      </c>
      <c r="D18" s="53" t="s">
        <v>26</v>
      </c>
      <c r="E18" s="404">
        <f>VLOOKUP(C18,'SOR RATE'!A:D,4,0)</f>
        <v>599</v>
      </c>
      <c r="F18" s="415">
        <v>22</v>
      </c>
      <c r="G18" s="416">
        <f t="shared" si="0"/>
        <v>13178</v>
      </c>
      <c r="H18" s="415">
        <v>22</v>
      </c>
      <c r="I18" s="416">
        <f t="shared" si="1"/>
        <v>13178</v>
      </c>
      <c r="J18" s="415">
        <v>22</v>
      </c>
      <c r="K18" s="417">
        <f t="shared" si="2"/>
        <v>13178</v>
      </c>
      <c r="L18" s="415">
        <v>22</v>
      </c>
      <c r="M18" s="416">
        <f t="shared" si="3"/>
        <v>13178</v>
      </c>
      <c r="N18" s="415">
        <v>22</v>
      </c>
      <c r="O18" s="416">
        <f t="shared" si="4"/>
        <v>13178</v>
      </c>
      <c r="P18" s="415">
        <v>22</v>
      </c>
      <c r="Q18" s="416">
        <f t="shared" si="5"/>
        <v>13178</v>
      </c>
      <c r="R18" s="752"/>
      <c r="S18" s="34" t="s">
        <v>652</v>
      </c>
      <c r="W18" s="407"/>
    </row>
    <row r="19" spans="1:17" ht="30" customHeight="1">
      <c r="A19" s="402">
        <v>6</v>
      </c>
      <c r="B19" s="418" t="s">
        <v>314</v>
      </c>
      <c r="C19" s="419"/>
      <c r="D19" s="420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2"/>
    </row>
    <row r="20" spans="1:19" ht="20.25" customHeight="1">
      <c r="A20" s="402" t="s">
        <v>315</v>
      </c>
      <c r="B20" s="423" t="s">
        <v>316</v>
      </c>
      <c r="C20" s="424">
        <v>7130310066</v>
      </c>
      <c r="D20" s="53" t="s">
        <v>307</v>
      </c>
      <c r="E20" s="404">
        <f>VLOOKUP(C20,'SOR RATE'!A:D,4,0)/1000</f>
        <v>129.093</v>
      </c>
      <c r="F20" s="415">
        <v>1100</v>
      </c>
      <c r="G20" s="416">
        <f t="shared" si="0"/>
        <v>142002.3</v>
      </c>
      <c r="H20" s="415"/>
      <c r="I20" s="415"/>
      <c r="J20" s="415">
        <v>1100</v>
      </c>
      <c r="K20" s="417">
        <f>J20*E20</f>
        <v>142002.3</v>
      </c>
      <c r="L20" s="415"/>
      <c r="M20" s="415"/>
      <c r="N20" s="415">
        <v>1100</v>
      </c>
      <c r="O20" s="416">
        <f>N20*E20</f>
        <v>142002.3</v>
      </c>
      <c r="P20" s="415"/>
      <c r="Q20" s="416"/>
      <c r="R20" s="753"/>
      <c r="S20" s="408"/>
    </row>
    <row r="21" spans="1:23" ht="21.75" customHeight="1">
      <c r="A21" s="402" t="s">
        <v>755</v>
      </c>
      <c r="B21" s="423" t="s">
        <v>317</v>
      </c>
      <c r="C21" s="328">
        <v>7130310032</v>
      </c>
      <c r="D21" s="53" t="s">
        <v>307</v>
      </c>
      <c r="E21" s="404">
        <f>VLOOKUP(C21,'SOR RATE'!A:D,4,0)/1000</f>
        <v>75.464</v>
      </c>
      <c r="F21" s="415"/>
      <c r="G21" s="415"/>
      <c r="H21" s="415">
        <v>1100</v>
      </c>
      <c r="I21" s="416">
        <f>H21*E21</f>
        <v>83010.4</v>
      </c>
      <c r="J21" s="415"/>
      <c r="K21" s="417"/>
      <c r="L21" s="415">
        <v>1100</v>
      </c>
      <c r="M21" s="416">
        <f>L21*E21</f>
        <v>83010.4</v>
      </c>
      <c r="N21" s="415"/>
      <c r="O21" s="416"/>
      <c r="P21" s="415">
        <v>1100</v>
      </c>
      <c r="Q21" s="416">
        <f>P21*E21</f>
        <v>83010.4</v>
      </c>
      <c r="R21" s="751"/>
      <c r="S21" s="408"/>
      <c r="T21" s="425"/>
      <c r="U21" s="425"/>
      <c r="V21" s="425"/>
      <c r="W21" s="425"/>
    </row>
    <row r="22" spans="1:19" ht="19.5" customHeight="1">
      <c r="A22" s="827">
        <v>7</v>
      </c>
      <c r="B22" s="327" t="s">
        <v>318</v>
      </c>
      <c r="C22" s="424">
        <v>7130860032</v>
      </c>
      <c r="D22" s="53" t="s">
        <v>26</v>
      </c>
      <c r="E22" s="404">
        <f>VLOOKUP(C22,'SOR RATE'!A:D,4,0)</f>
        <v>387</v>
      </c>
      <c r="F22" s="415">
        <v>12</v>
      </c>
      <c r="G22" s="415">
        <f>F22*E22</f>
        <v>4644</v>
      </c>
      <c r="H22" s="415">
        <v>12</v>
      </c>
      <c r="I22" s="415">
        <f>H22*E22</f>
        <v>4644</v>
      </c>
      <c r="J22" s="415">
        <v>12</v>
      </c>
      <c r="K22" s="417">
        <f>J22*E22</f>
        <v>4644</v>
      </c>
      <c r="L22" s="415">
        <v>12</v>
      </c>
      <c r="M22" s="415">
        <f>L22*E22</f>
        <v>4644</v>
      </c>
      <c r="N22" s="415">
        <v>12</v>
      </c>
      <c r="O22" s="416">
        <f>N22*E22</f>
        <v>4644</v>
      </c>
      <c r="P22" s="415">
        <v>12</v>
      </c>
      <c r="Q22" s="416">
        <f>P22*E22</f>
        <v>4644</v>
      </c>
      <c r="S22" s="408"/>
    </row>
    <row r="23" spans="1:19" ht="18" customHeight="1">
      <c r="A23" s="828"/>
      <c r="B23" s="327" t="s">
        <v>319</v>
      </c>
      <c r="C23" s="424">
        <v>7130860077</v>
      </c>
      <c r="D23" s="53" t="s">
        <v>32</v>
      </c>
      <c r="E23" s="404">
        <f>VLOOKUP(C23,'SOR RATE'!A:D,4,0)/1000</f>
        <v>61.6</v>
      </c>
      <c r="F23" s="415">
        <v>72</v>
      </c>
      <c r="G23" s="416">
        <f>F23*E23</f>
        <v>4435.2</v>
      </c>
      <c r="H23" s="415">
        <v>72</v>
      </c>
      <c r="I23" s="416">
        <f>H23*E23</f>
        <v>4435.2</v>
      </c>
      <c r="J23" s="415">
        <v>72</v>
      </c>
      <c r="K23" s="417">
        <f>J23*E23</f>
        <v>4435.2</v>
      </c>
      <c r="L23" s="415">
        <v>72</v>
      </c>
      <c r="M23" s="416">
        <f>L23*E23</f>
        <v>4435.2</v>
      </c>
      <c r="N23" s="415">
        <v>72</v>
      </c>
      <c r="O23" s="416">
        <f>N23*E23</f>
        <v>4435.2</v>
      </c>
      <c r="P23" s="415">
        <v>72</v>
      </c>
      <c r="Q23" s="416">
        <f>P23*E23</f>
        <v>4435.2</v>
      </c>
      <c r="S23" s="408"/>
    </row>
    <row r="24" spans="1:19" ht="17.25" customHeight="1">
      <c r="A24" s="829"/>
      <c r="B24" s="327" t="s">
        <v>782</v>
      </c>
      <c r="C24" s="427">
        <v>7130810026</v>
      </c>
      <c r="D24" s="53" t="s">
        <v>26</v>
      </c>
      <c r="E24" s="404">
        <f>VLOOKUP(C24,'SOR RATE'!A:D,4,0)</f>
        <v>142</v>
      </c>
      <c r="F24" s="415">
        <v>12</v>
      </c>
      <c r="G24" s="416">
        <f>F24*E24</f>
        <v>1704</v>
      </c>
      <c r="H24" s="415">
        <v>12</v>
      </c>
      <c r="I24" s="416">
        <f>H24*E24</f>
        <v>1704</v>
      </c>
      <c r="J24" s="415">
        <v>12</v>
      </c>
      <c r="K24" s="417">
        <f>J24*E24</f>
        <v>1704</v>
      </c>
      <c r="L24" s="415">
        <v>12</v>
      </c>
      <c r="M24" s="416">
        <f>L24*E24</f>
        <v>1704</v>
      </c>
      <c r="N24" s="415">
        <v>12</v>
      </c>
      <c r="O24" s="416">
        <f>N24*E24</f>
        <v>1704</v>
      </c>
      <c r="P24" s="415">
        <v>12</v>
      </c>
      <c r="Q24" s="416">
        <f>P24*E24</f>
        <v>1704</v>
      </c>
      <c r="S24" s="408"/>
    </row>
    <row r="25" spans="1:19" ht="63.75" customHeight="1">
      <c r="A25" s="827">
        <v>8</v>
      </c>
      <c r="B25" s="428" t="s">
        <v>320</v>
      </c>
      <c r="C25" s="424"/>
      <c r="D25" s="53" t="s">
        <v>1331</v>
      </c>
      <c r="E25" s="417"/>
      <c r="F25" s="415"/>
      <c r="G25" s="416"/>
      <c r="H25" s="415"/>
      <c r="I25" s="415"/>
      <c r="J25" s="415"/>
      <c r="K25" s="417"/>
      <c r="L25" s="415"/>
      <c r="M25" s="415"/>
      <c r="N25" s="415"/>
      <c r="O25" s="416"/>
      <c r="P25" s="415"/>
      <c r="Q25" s="416"/>
      <c r="S25" s="408"/>
    </row>
    <row r="26" spans="1:19" ht="20.25" customHeight="1">
      <c r="A26" s="829"/>
      <c r="B26" s="327" t="s">
        <v>777</v>
      </c>
      <c r="C26" s="424">
        <v>7130200401</v>
      </c>
      <c r="D26" s="53" t="s">
        <v>32</v>
      </c>
      <c r="E26" s="404">
        <f>VLOOKUP(C26,'SOR RATE'!A:D,4,0)/50</f>
        <v>5.36</v>
      </c>
      <c r="F26" s="415">
        <v>707</v>
      </c>
      <c r="G26" s="416">
        <f>F26*E26</f>
        <v>3789.5200000000004</v>
      </c>
      <c r="H26" s="415">
        <v>707</v>
      </c>
      <c r="I26" s="416">
        <f>H26*E26</f>
        <v>3789.5200000000004</v>
      </c>
      <c r="J26" s="415">
        <v>1747</v>
      </c>
      <c r="K26" s="417">
        <f>J26*E26</f>
        <v>9363.92</v>
      </c>
      <c r="L26" s="429">
        <f>+J26</f>
        <v>1747</v>
      </c>
      <c r="M26" s="416">
        <f>L26*E26</f>
        <v>9363.92</v>
      </c>
      <c r="N26" s="415">
        <v>2579</v>
      </c>
      <c r="O26" s="416">
        <f>N26*E26</f>
        <v>13823.44</v>
      </c>
      <c r="P26" s="415">
        <v>2579</v>
      </c>
      <c r="Q26" s="416">
        <f>P26*E26</f>
        <v>13823.44</v>
      </c>
      <c r="S26" s="408"/>
    </row>
    <row r="27" spans="1:17" ht="15">
      <c r="A27" s="827">
        <v>9</v>
      </c>
      <c r="B27" s="423" t="s">
        <v>33</v>
      </c>
      <c r="C27" s="424"/>
      <c r="D27" s="53" t="s">
        <v>32</v>
      </c>
      <c r="E27" s="417"/>
      <c r="F27" s="415">
        <v>30</v>
      </c>
      <c r="G27" s="415"/>
      <c r="H27" s="415">
        <v>30</v>
      </c>
      <c r="I27" s="415"/>
      <c r="J27" s="415">
        <v>30</v>
      </c>
      <c r="K27" s="417"/>
      <c r="L27" s="415">
        <v>30</v>
      </c>
      <c r="M27" s="415"/>
      <c r="N27" s="415">
        <v>30</v>
      </c>
      <c r="O27" s="416"/>
      <c r="P27" s="415">
        <v>30</v>
      </c>
      <c r="Q27" s="430"/>
    </row>
    <row r="28" spans="1:19" ht="19.5" customHeight="1">
      <c r="A28" s="828"/>
      <c r="B28" s="431" t="s">
        <v>1333</v>
      </c>
      <c r="C28" s="424">
        <v>7130620573</v>
      </c>
      <c r="D28" s="53" t="s">
        <v>32</v>
      </c>
      <c r="E28" s="404">
        <f>VLOOKUP(C28,'SOR RATE'!A:D,4,0)</f>
        <v>64</v>
      </c>
      <c r="F28" s="415">
        <v>2</v>
      </c>
      <c r="G28" s="416">
        <f aca="true" t="shared" si="6" ref="G28:G43">F28*E28</f>
        <v>128</v>
      </c>
      <c r="H28" s="415">
        <v>2</v>
      </c>
      <c r="I28" s="416">
        <f aca="true" t="shared" si="7" ref="I28:I43">H28*E28</f>
        <v>128</v>
      </c>
      <c r="J28" s="415">
        <v>2</v>
      </c>
      <c r="K28" s="417">
        <f aca="true" t="shared" si="8" ref="K28:K43">J28*E28</f>
        <v>128</v>
      </c>
      <c r="L28" s="415">
        <v>2</v>
      </c>
      <c r="M28" s="416">
        <f aca="true" t="shared" si="9" ref="M28:M43">L28*E28</f>
        <v>128</v>
      </c>
      <c r="N28" s="415">
        <v>2</v>
      </c>
      <c r="O28" s="416">
        <f aca="true" t="shared" si="10" ref="O28:O43">N28*E28</f>
        <v>128</v>
      </c>
      <c r="P28" s="415">
        <v>2</v>
      </c>
      <c r="Q28" s="416">
        <f aca="true" t="shared" si="11" ref="Q28:Q43">P28*E28</f>
        <v>128</v>
      </c>
      <c r="S28" s="408"/>
    </row>
    <row r="29" spans="1:19" ht="17.25" customHeight="1">
      <c r="A29" s="828"/>
      <c r="B29" s="431" t="s">
        <v>1017</v>
      </c>
      <c r="C29" s="424">
        <v>7130620609</v>
      </c>
      <c r="D29" s="53" t="s">
        <v>32</v>
      </c>
      <c r="E29" s="404">
        <f>VLOOKUP(C29,'SOR RATE'!A:D,4,0)</f>
        <v>64</v>
      </c>
      <c r="F29" s="415">
        <v>14</v>
      </c>
      <c r="G29" s="416">
        <f t="shared" si="6"/>
        <v>896</v>
      </c>
      <c r="H29" s="415">
        <v>14</v>
      </c>
      <c r="I29" s="416">
        <f t="shared" si="7"/>
        <v>896</v>
      </c>
      <c r="J29" s="415">
        <v>14</v>
      </c>
      <c r="K29" s="417">
        <f t="shared" si="8"/>
        <v>896</v>
      </c>
      <c r="L29" s="415">
        <v>14</v>
      </c>
      <c r="M29" s="416">
        <f t="shared" si="9"/>
        <v>896</v>
      </c>
      <c r="N29" s="415">
        <v>14</v>
      </c>
      <c r="O29" s="416">
        <f t="shared" si="10"/>
        <v>896</v>
      </c>
      <c r="P29" s="415">
        <v>14</v>
      </c>
      <c r="Q29" s="416">
        <f t="shared" si="11"/>
        <v>896</v>
      </c>
      <c r="S29" s="408"/>
    </row>
    <row r="30" spans="1:19" ht="21" customHeight="1">
      <c r="A30" s="829"/>
      <c r="B30" s="431" t="s">
        <v>192</v>
      </c>
      <c r="C30" s="328">
        <v>7130620614</v>
      </c>
      <c r="D30" s="53" t="s">
        <v>32</v>
      </c>
      <c r="E30" s="404">
        <f>VLOOKUP(C30,'SOR RATE'!A:D,4,0)</f>
        <v>63</v>
      </c>
      <c r="F30" s="415">
        <v>14</v>
      </c>
      <c r="G30" s="416">
        <f t="shared" si="6"/>
        <v>882</v>
      </c>
      <c r="H30" s="415">
        <v>14</v>
      </c>
      <c r="I30" s="416">
        <f t="shared" si="7"/>
        <v>882</v>
      </c>
      <c r="J30" s="415">
        <v>14</v>
      </c>
      <c r="K30" s="417">
        <f t="shared" si="8"/>
        <v>882</v>
      </c>
      <c r="L30" s="415">
        <v>14</v>
      </c>
      <c r="M30" s="416">
        <f t="shared" si="9"/>
        <v>882</v>
      </c>
      <c r="N30" s="415">
        <v>14</v>
      </c>
      <c r="O30" s="416">
        <f t="shared" si="10"/>
        <v>882</v>
      </c>
      <c r="P30" s="415">
        <v>14</v>
      </c>
      <c r="Q30" s="416">
        <f t="shared" si="11"/>
        <v>882</v>
      </c>
      <c r="S30" s="408"/>
    </row>
    <row r="31" spans="1:19" ht="30" customHeight="1">
      <c r="A31" s="426">
        <v>10</v>
      </c>
      <c r="B31" s="432" t="s">
        <v>235</v>
      </c>
      <c r="C31" s="433">
        <v>7130870013</v>
      </c>
      <c r="D31" s="53" t="s">
        <v>26</v>
      </c>
      <c r="E31" s="404">
        <f>VLOOKUP(C31,'SOR RATE'!A:D,4,0)</f>
        <v>100</v>
      </c>
      <c r="F31" s="415">
        <v>20</v>
      </c>
      <c r="G31" s="416">
        <f t="shared" si="6"/>
        <v>2000</v>
      </c>
      <c r="H31" s="415">
        <v>20</v>
      </c>
      <c r="I31" s="416">
        <f>H31*E31</f>
        <v>2000</v>
      </c>
      <c r="J31" s="415">
        <v>20</v>
      </c>
      <c r="K31" s="417">
        <f t="shared" si="8"/>
        <v>2000</v>
      </c>
      <c r="L31" s="415">
        <v>20</v>
      </c>
      <c r="M31" s="416">
        <f t="shared" si="9"/>
        <v>2000</v>
      </c>
      <c r="N31" s="415">
        <v>20</v>
      </c>
      <c r="O31" s="416">
        <f>N31*E31</f>
        <v>2000</v>
      </c>
      <c r="P31" s="415">
        <v>20</v>
      </c>
      <c r="Q31" s="416">
        <f t="shared" si="11"/>
        <v>2000</v>
      </c>
      <c r="S31" s="408"/>
    </row>
    <row r="32" spans="1:19" ht="20.25" customHeight="1">
      <c r="A32" s="426">
        <v>11</v>
      </c>
      <c r="B32" s="432" t="s">
        <v>321</v>
      </c>
      <c r="C32" s="433">
        <v>7131950012</v>
      </c>
      <c r="D32" s="53" t="s">
        <v>26</v>
      </c>
      <c r="E32" s="404">
        <f>VLOOKUP(C32,'SOR RATE'!A:D,4,0)</f>
        <v>1355</v>
      </c>
      <c r="F32" s="415">
        <v>15</v>
      </c>
      <c r="G32" s="416">
        <f t="shared" si="6"/>
        <v>20325</v>
      </c>
      <c r="H32" s="415">
        <v>15</v>
      </c>
      <c r="I32" s="416">
        <f>H32*E32</f>
        <v>20325</v>
      </c>
      <c r="J32" s="415">
        <v>15</v>
      </c>
      <c r="K32" s="417">
        <f t="shared" si="8"/>
        <v>20325</v>
      </c>
      <c r="L32" s="415">
        <v>15</v>
      </c>
      <c r="M32" s="416">
        <f t="shared" si="9"/>
        <v>20325</v>
      </c>
      <c r="N32" s="415">
        <v>15</v>
      </c>
      <c r="O32" s="416">
        <f>N32*E32</f>
        <v>20325</v>
      </c>
      <c r="P32" s="415">
        <v>15</v>
      </c>
      <c r="Q32" s="416">
        <f t="shared" si="11"/>
        <v>20325</v>
      </c>
      <c r="S32" s="408"/>
    </row>
    <row r="33" spans="1:18" ht="33.75" customHeight="1">
      <c r="A33" s="402">
        <v>12</v>
      </c>
      <c r="B33" s="327" t="s">
        <v>1019</v>
      </c>
      <c r="C33" s="92"/>
      <c r="D33" s="53" t="s">
        <v>1012</v>
      </c>
      <c r="E33" s="417">
        <v>57</v>
      </c>
      <c r="F33" s="415">
        <v>15</v>
      </c>
      <c r="G33" s="416">
        <f t="shared" si="6"/>
        <v>855</v>
      </c>
      <c r="H33" s="415">
        <v>15</v>
      </c>
      <c r="I33" s="416">
        <f t="shared" si="7"/>
        <v>855</v>
      </c>
      <c r="J33" s="415">
        <v>15</v>
      </c>
      <c r="K33" s="417">
        <f t="shared" si="8"/>
        <v>855</v>
      </c>
      <c r="L33" s="415">
        <v>15</v>
      </c>
      <c r="M33" s="416">
        <f t="shared" si="9"/>
        <v>855</v>
      </c>
      <c r="N33" s="415">
        <v>15</v>
      </c>
      <c r="O33" s="416">
        <f t="shared" si="10"/>
        <v>855</v>
      </c>
      <c r="P33" s="415">
        <v>15</v>
      </c>
      <c r="Q33" s="416">
        <f t="shared" si="11"/>
        <v>855</v>
      </c>
      <c r="R33" s="751"/>
    </row>
    <row r="34" spans="1:17" ht="18.75" customHeight="1">
      <c r="A34" s="402">
        <v>13</v>
      </c>
      <c r="B34" s="327" t="s">
        <v>29</v>
      </c>
      <c r="C34" s="91">
        <v>7130211158</v>
      </c>
      <c r="D34" s="53" t="s">
        <v>30</v>
      </c>
      <c r="E34" s="404">
        <f>VLOOKUP(C34,'SOR RATE'!A:D,4,0)</f>
        <v>130</v>
      </c>
      <c r="F34" s="53">
        <v>5</v>
      </c>
      <c r="G34" s="416">
        <f t="shared" si="6"/>
        <v>650</v>
      </c>
      <c r="H34" s="53">
        <v>5</v>
      </c>
      <c r="I34" s="416">
        <f t="shared" si="7"/>
        <v>650</v>
      </c>
      <c r="J34" s="53">
        <v>20</v>
      </c>
      <c r="K34" s="417">
        <f t="shared" si="8"/>
        <v>2600</v>
      </c>
      <c r="L34" s="53">
        <v>20</v>
      </c>
      <c r="M34" s="416">
        <f t="shared" si="9"/>
        <v>2600</v>
      </c>
      <c r="N34" s="53">
        <v>20</v>
      </c>
      <c r="O34" s="416">
        <f t="shared" si="10"/>
        <v>2600</v>
      </c>
      <c r="P34" s="53">
        <v>20</v>
      </c>
      <c r="Q34" s="416">
        <f t="shared" si="11"/>
        <v>2600</v>
      </c>
    </row>
    <row r="35" spans="1:17" ht="18.75" customHeight="1">
      <c r="A35" s="402">
        <v>14</v>
      </c>
      <c r="B35" s="327" t="s">
        <v>31</v>
      </c>
      <c r="C35" s="91">
        <v>7130210809</v>
      </c>
      <c r="D35" s="53" t="s">
        <v>30</v>
      </c>
      <c r="E35" s="404">
        <f>VLOOKUP(C35,'SOR RATE'!A:D,4,0)</f>
        <v>290</v>
      </c>
      <c r="F35" s="53">
        <v>5</v>
      </c>
      <c r="G35" s="416">
        <f t="shared" si="6"/>
        <v>1450</v>
      </c>
      <c r="H35" s="53">
        <v>5</v>
      </c>
      <c r="I35" s="416">
        <f t="shared" si="7"/>
        <v>1450</v>
      </c>
      <c r="J35" s="53">
        <v>20</v>
      </c>
      <c r="K35" s="417">
        <f t="shared" si="8"/>
        <v>5800</v>
      </c>
      <c r="L35" s="53">
        <v>20</v>
      </c>
      <c r="M35" s="416">
        <f t="shared" si="9"/>
        <v>5800</v>
      </c>
      <c r="N35" s="53">
        <v>20</v>
      </c>
      <c r="O35" s="416">
        <f t="shared" si="10"/>
        <v>5800</v>
      </c>
      <c r="P35" s="53">
        <v>20</v>
      </c>
      <c r="Q35" s="416">
        <f t="shared" si="11"/>
        <v>5800</v>
      </c>
    </row>
    <row r="36" spans="1:17" ht="18.75" customHeight="1">
      <c r="A36" s="402">
        <v>15</v>
      </c>
      <c r="B36" s="327" t="s">
        <v>796</v>
      </c>
      <c r="C36" s="91">
        <v>7130810077</v>
      </c>
      <c r="D36" s="53" t="s">
        <v>26</v>
      </c>
      <c r="E36" s="404">
        <f>VLOOKUP(C36,'SOR RATE'!A:D,4,0)</f>
        <v>394</v>
      </c>
      <c r="F36" s="53">
        <v>44</v>
      </c>
      <c r="G36" s="416">
        <f t="shared" si="6"/>
        <v>17336</v>
      </c>
      <c r="H36" s="53">
        <v>44</v>
      </c>
      <c r="I36" s="416">
        <f t="shared" si="7"/>
        <v>17336</v>
      </c>
      <c r="J36" s="53">
        <v>44</v>
      </c>
      <c r="K36" s="417">
        <f t="shared" si="8"/>
        <v>17336</v>
      </c>
      <c r="L36" s="53">
        <v>44</v>
      </c>
      <c r="M36" s="416">
        <f t="shared" si="9"/>
        <v>17336</v>
      </c>
      <c r="N36" s="53">
        <v>44</v>
      </c>
      <c r="O36" s="416">
        <f t="shared" si="10"/>
        <v>17336</v>
      </c>
      <c r="P36" s="53">
        <v>44</v>
      </c>
      <c r="Q36" s="416">
        <f t="shared" si="11"/>
        <v>17336</v>
      </c>
    </row>
    <row r="37" spans="1:17" ht="18.75" customHeight="1">
      <c r="A37" s="402">
        <v>16</v>
      </c>
      <c r="B37" s="327" t="s">
        <v>794</v>
      </c>
      <c r="C37" s="91">
        <v>7130893004</v>
      </c>
      <c r="D37" s="53" t="s">
        <v>26</v>
      </c>
      <c r="E37" s="404">
        <f>VLOOKUP(C37,'SOR RATE'!A:D,4,0)</f>
        <v>161</v>
      </c>
      <c r="F37" s="53">
        <v>44</v>
      </c>
      <c r="G37" s="416">
        <f t="shared" si="6"/>
        <v>7084</v>
      </c>
      <c r="H37" s="53">
        <v>44</v>
      </c>
      <c r="I37" s="416">
        <f t="shared" si="7"/>
        <v>7084</v>
      </c>
      <c r="J37" s="53">
        <v>44</v>
      </c>
      <c r="K37" s="417">
        <f t="shared" si="8"/>
        <v>7084</v>
      </c>
      <c r="L37" s="53">
        <v>44</v>
      </c>
      <c r="M37" s="416">
        <f t="shared" si="9"/>
        <v>7084</v>
      </c>
      <c r="N37" s="53">
        <v>44</v>
      </c>
      <c r="O37" s="416">
        <f t="shared" si="10"/>
        <v>7084</v>
      </c>
      <c r="P37" s="53">
        <v>44</v>
      </c>
      <c r="Q37" s="416">
        <f t="shared" si="11"/>
        <v>7084</v>
      </c>
    </row>
    <row r="38" spans="1:18" ht="19.5" customHeight="1">
      <c r="A38" s="402">
        <v>17</v>
      </c>
      <c r="B38" s="327" t="s">
        <v>1020</v>
      </c>
      <c r="C38" s="91">
        <v>7130810102</v>
      </c>
      <c r="D38" s="53" t="s">
        <v>26</v>
      </c>
      <c r="E38" s="404">
        <f>VLOOKUP(C38,'SOR RATE'!A:D,4,0)</f>
        <v>349</v>
      </c>
      <c r="F38" s="53">
        <v>30</v>
      </c>
      <c r="G38" s="416">
        <f t="shared" si="6"/>
        <v>10470</v>
      </c>
      <c r="H38" s="53">
        <v>30</v>
      </c>
      <c r="I38" s="416">
        <f t="shared" si="7"/>
        <v>10470</v>
      </c>
      <c r="J38" s="53">
        <v>30</v>
      </c>
      <c r="K38" s="417">
        <f t="shared" si="8"/>
        <v>10470</v>
      </c>
      <c r="L38" s="53">
        <v>30</v>
      </c>
      <c r="M38" s="416">
        <f t="shared" si="9"/>
        <v>10470</v>
      </c>
      <c r="N38" s="53">
        <v>30</v>
      </c>
      <c r="O38" s="416">
        <f t="shared" si="10"/>
        <v>10470</v>
      </c>
      <c r="P38" s="53">
        <v>30</v>
      </c>
      <c r="Q38" s="416">
        <f t="shared" si="11"/>
        <v>10470</v>
      </c>
      <c r="R38" s="751"/>
    </row>
    <row r="39" spans="1:18" ht="33" customHeight="1">
      <c r="A39" s="402">
        <v>18</v>
      </c>
      <c r="B39" s="327" t="s">
        <v>1021</v>
      </c>
      <c r="C39" s="328">
        <v>7130311008</v>
      </c>
      <c r="D39" s="53" t="s">
        <v>307</v>
      </c>
      <c r="E39" s="404">
        <f>VLOOKUP(C39,'SOR RATE'!A:D,4,0)/1000</f>
        <v>15.99</v>
      </c>
      <c r="F39" s="53">
        <v>90</v>
      </c>
      <c r="G39" s="416">
        <f t="shared" si="6"/>
        <v>1439.1</v>
      </c>
      <c r="H39" s="53">
        <v>90</v>
      </c>
      <c r="I39" s="416">
        <f t="shared" si="7"/>
        <v>1439.1</v>
      </c>
      <c r="J39" s="53">
        <v>90</v>
      </c>
      <c r="K39" s="417">
        <f t="shared" si="8"/>
        <v>1439.1</v>
      </c>
      <c r="L39" s="53">
        <v>90</v>
      </c>
      <c r="M39" s="416">
        <f t="shared" si="9"/>
        <v>1439.1</v>
      </c>
      <c r="N39" s="53">
        <v>90</v>
      </c>
      <c r="O39" s="416">
        <f t="shared" si="10"/>
        <v>1439.1</v>
      </c>
      <c r="P39" s="53">
        <v>90</v>
      </c>
      <c r="Q39" s="416">
        <f t="shared" si="11"/>
        <v>1439.1</v>
      </c>
      <c r="R39" s="751"/>
    </row>
    <row r="40" spans="1:18" ht="20.25" customHeight="1">
      <c r="A40" s="402">
        <v>19</v>
      </c>
      <c r="B40" s="327" t="s">
        <v>1022</v>
      </c>
      <c r="C40" s="328">
        <v>7130390007</v>
      </c>
      <c r="D40" s="53" t="s">
        <v>26</v>
      </c>
      <c r="E40" s="404">
        <f>VLOOKUP(C40,'SOR RATE'!A:D,4,0)</f>
        <v>172</v>
      </c>
      <c r="F40" s="53">
        <v>8</v>
      </c>
      <c r="G40" s="416">
        <f t="shared" si="6"/>
        <v>1376</v>
      </c>
      <c r="H40" s="53">
        <v>8</v>
      </c>
      <c r="I40" s="416">
        <f t="shared" si="7"/>
        <v>1376</v>
      </c>
      <c r="J40" s="53">
        <v>8</v>
      </c>
      <c r="K40" s="417">
        <f t="shared" si="8"/>
        <v>1376</v>
      </c>
      <c r="L40" s="53">
        <v>8</v>
      </c>
      <c r="M40" s="416">
        <f t="shared" si="9"/>
        <v>1376</v>
      </c>
      <c r="N40" s="53">
        <v>8</v>
      </c>
      <c r="O40" s="416">
        <f t="shared" si="10"/>
        <v>1376</v>
      </c>
      <c r="P40" s="53">
        <v>8</v>
      </c>
      <c r="Q40" s="416">
        <f t="shared" si="11"/>
        <v>1376</v>
      </c>
      <c r="R40" s="434"/>
    </row>
    <row r="41" spans="1:18" ht="19.5" customHeight="1">
      <c r="A41" s="402">
        <v>20</v>
      </c>
      <c r="B41" s="327" t="s">
        <v>1023</v>
      </c>
      <c r="C41" s="328">
        <v>7130390019</v>
      </c>
      <c r="D41" s="53" t="s">
        <v>26</v>
      </c>
      <c r="E41" s="404">
        <f>VLOOKUP(C41,'SOR RATE'!A:D,4,0)</f>
        <v>28</v>
      </c>
      <c r="F41" s="53">
        <v>20</v>
      </c>
      <c r="G41" s="416">
        <f t="shared" si="6"/>
        <v>560</v>
      </c>
      <c r="H41" s="53">
        <v>20</v>
      </c>
      <c r="I41" s="416">
        <f t="shared" si="7"/>
        <v>560</v>
      </c>
      <c r="J41" s="53">
        <v>20</v>
      </c>
      <c r="K41" s="417">
        <f t="shared" si="8"/>
        <v>560</v>
      </c>
      <c r="L41" s="53">
        <v>20</v>
      </c>
      <c r="M41" s="416">
        <f t="shared" si="9"/>
        <v>560</v>
      </c>
      <c r="N41" s="53">
        <v>20</v>
      </c>
      <c r="O41" s="416">
        <f t="shared" si="10"/>
        <v>560</v>
      </c>
      <c r="P41" s="53">
        <v>20</v>
      </c>
      <c r="Q41" s="416">
        <f t="shared" si="11"/>
        <v>560</v>
      </c>
      <c r="R41" s="434"/>
    </row>
    <row r="42" spans="1:18" ht="32.25" customHeight="1">
      <c r="A42" s="402">
        <v>21</v>
      </c>
      <c r="B42" s="327" t="s">
        <v>126</v>
      </c>
      <c r="C42" s="328">
        <v>7130320053</v>
      </c>
      <c r="D42" s="53" t="s">
        <v>26</v>
      </c>
      <c r="E42" s="404">
        <f>VLOOKUP(C42,'SOR RATE'!A:D,4,0)</f>
        <v>5</v>
      </c>
      <c r="F42" s="53">
        <v>530</v>
      </c>
      <c r="G42" s="416">
        <f t="shared" si="6"/>
        <v>2650</v>
      </c>
      <c r="H42" s="53">
        <v>530</v>
      </c>
      <c r="I42" s="416">
        <f t="shared" si="7"/>
        <v>2650</v>
      </c>
      <c r="J42" s="53">
        <v>530</v>
      </c>
      <c r="K42" s="417">
        <f t="shared" si="8"/>
        <v>2650</v>
      </c>
      <c r="L42" s="53">
        <v>530</v>
      </c>
      <c r="M42" s="416">
        <f t="shared" si="9"/>
        <v>2650</v>
      </c>
      <c r="N42" s="53">
        <v>530</v>
      </c>
      <c r="O42" s="416">
        <f t="shared" si="10"/>
        <v>2650</v>
      </c>
      <c r="P42" s="53">
        <v>530</v>
      </c>
      <c r="Q42" s="416">
        <f t="shared" si="11"/>
        <v>2650</v>
      </c>
      <c r="R42" s="434"/>
    </row>
    <row r="43" spans="1:19" ht="21" customHeight="1">
      <c r="A43" s="402">
        <v>22</v>
      </c>
      <c r="B43" s="327" t="s">
        <v>822</v>
      </c>
      <c r="C43" s="328">
        <v>7130610206</v>
      </c>
      <c r="D43" s="53" t="s">
        <v>32</v>
      </c>
      <c r="E43" s="404">
        <f>VLOOKUP(C43,'SOR RATE'!A:D,4,0)/1000</f>
        <v>66.528</v>
      </c>
      <c r="F43" s="53">
        <v>70</v>
      </c>
      <c r="G43" s="416">
        <f t="shared" si="6"/>
        <v>4656.96</v>
      </c>
      <c r="H43" s="53">
        <v>70</v>
      </c>
      <c r="I43" s="416">
        <f t="shared" si="7"/>
        <v>4656.96</v>
      </c>
      <c r="J43" s="53">
        <v>70</v>
      </c>
      <c r="K43" s="417">
        <f t="shared" si="8"/>
        <v>4656.96</v>
      </c>
      <c r="L43" s="53">
        <v>70</v>
      </c>
      <c r="M43" s="416">
        <f t="shared" si="9"/>
        <v>4656.96</v>
      </c>
      <c r="N43" s="53">
        <v>70</v>
      </c>
      <c r="O43" s="416">
        <f t="shared" si="10"/>
        <v>4656.96</v>
      </c>
      <c r="P43" s="53">
        <v>70</v>
      </c>
      <c r="Q43" s="416">
        <f t="shared" si="11"/>
        <v>4656.96</v>
      </c>
      <c r="R43" s="754"/>
      <c r="S43" s="727"/>
    </row>
    <row r="44" spans="1:18" ht="19.5" customHeight="1">
      <c r="A44" s="827">
        <v>23</v>
      </c>
      <c r="B44" s="435" t="s">
        <v>647</v>
      </c>
      <c r="C44" s="436"/>
      <c r="D44" s="53"/>
      <c r="E44" s="417"/>
      <c r="F44" s="53"/>
      <c r="G44" s="416"/>
      <c r="H44" s="53"/>
      <c r="I44" s="416"/>
      <c r="J44" s="53"/>
      <c r="K44" s="417"/>
      <c r="L44" s="53"/>
      <c r="M44" s="416"/>
      <c r="N44" s="53"/>
      <c r="O44" s="416"/>
      <c r="P44" s="53"/>
      <c r="Q44" s="416"/>
      <c r="R44" s="434"/>
    </row>
    <row r="45" spans="1:18" ht="19.5" customHeight="1">
      <c r="A45" s="828"/>
      <c r="B45" s="437" t="s">
        <v>823</v>
      </c>
      <c r="C45" s="163">
        <v>7130810216</v>
      </c>
      <c r="D45" s="53" t="s">
        <v>26</v>
      </c>
      <c r="E45" s="404">
        <f>VLOOKUP(C45,'SOR RATE'!A:D,4,0)</f>
        <v>282</v>
      </c>
      <c r="F45" s="53"/>
      <c r="G45" s="416"/>
      <c r="H45" s="53"/>
      <c r="I45" s="416"/>
      <c r="J45" s="53">
        <v>40</v>
      </c>
      <c r="K45" s="417">
        <f>E45*J45</f>
        <v>11280</v>
      </c>
      <c r="L45" s="53">
        <v>40</v>
      </c>
      <c r="M45" s="416">
        <f>E45*L45</f>
        <v>11280</v>
      </c>
      <c r="N45" s="53"/>
      <c r="O45" s="416"/>
      <c r="P45" s="53"/>
      <c r="Q45" s="416"/>
      <c r="R45" s="434"/>
    </row>
    <row r="46" spans="1:18" ht="19.5" customHeight="1">
      <c r="A46" s="829"/>
      <c r="B46" s="438" t="s">
        <v>758</v>
      </c>
      <c r="C46" s="91">
        <v>7130810692</v>
      </c>
      <c r="D46" s="53" t="s">
        <v>26</v>
      </c>
      <c r="E46" s="404">
        <f>VLOOKUP(C46,'SOR RATE'!A:D,4,0)</f>
        <v>294</v>
      </c>
      <c r="F46" s="53"/>
      <c r="G46" s="416"/>
      <c r="H46" s="53"/>
      <c r="I46" s="416"/>
      <c r="J46" s="53"/>
      <c r="K46" s="417"/>
      <c r="L46" s="53"/>
      <c r="M46" s="416"/>
      <c r="N46" s="53">
        <v>40</v>
      </c>
      <c r="O46" s="416">
        <f>E46*N46</f>
        <v>11760</v>
      </c>
      <c r="P46" s="53">
        <v>40</v>
      </c>
      <c r="Q46" s="416">
        <f>E46*P46</f>
        <v>11760</v>
      </c>
      <c r="R46" s="434"/>
    </row>
    <row r="47" spans="1:18" ht="18" customHeight="1">
      <c r="A47" s="398">
        <v>24</v>
      </c>
      <c r="B47" s="439" t="s">
        <v>937</v>
      </c>
      <c r="C47" s="328"/>
      <c r="D47" s="440"/>
      <c r="E47" s="53"/>
      <c r="F47" s="53"/>
      <c r="G47" s="441">
        <f>SUM(G10:G43)</f>
        <v>301830.08</v>
      </c>
      <c r="H47" s="441"/>
      <c r="I47" s="441">
        <f>SUM(I10:I43)</f>
        <v>242838.18</v>
      </c>
      <c r="J47" s="441"/>
      <c r="K47" s="441">
        <f>SUM(K10:K46)</f>
        <v>455037.74322999996</v>
      </c>
      <c r="L47" s="441"/>
      <c r="M47" s="441">
        <f>SUM(M10:M46)</f>
        <v>396045.84323</v>
      </c>
      <c r="N47" s="441"/>
      <c r="O47" s="441">
        <f>SUM(O10:O46)</f>
        <v>597280.5419999999</v>
      </c>
      <c r="P47" s="441"/>
      <c r="Q47" s="441">
        <f>SUM(Q10:Q46)</f>
        <v>538288.6419999999</v>
      </c>
      <c r="R47" s="442"/>
    </row>
    <row r="48" spans="1:19" ht="19.5" customHeight="1">
      <c r="A48" s="53">
        <v>25</v>
      </c>
      <c r="B48" s="443" t="s">
        <v>936</v>
      </c>
      <c r="C48" s="444"/>
      <c r="D48" s="445"/>
      <c r="E48" s="328">
        <v>0.09</v>
      </c>
      <c r="F48" s="444"/>
      <c r="G48" s="328">
        <f>G47*E48</f>
        <v>27164.7072</v>
      </c>
      <c r="H48" s="328"/>
      <c r="I48" s="328">
        <f>I47*E48</f>
        <v>21855.4362</v>
      </c>
      <c r="J48" s="328"/>
      <c r="K48" s="417">
        <f>K47*E48</f>
        <v>40953.396890699994</v>
      </c>
      <c r="L48" s="328"/>
      <c r="M48" s="328">
        <f>M47*E48</f>
        <v>35644.1258907</v>
      </c>
      <c r="N48" s="328"/>
      <c r="O48" s="417">
        <f>O47*E48</f>
        <v>53755.24877999999</v>
      </c>
      <c r="P48" s="328"/>
      <c r="Q48" s="328">
        <f>Q47*E48</f>
        <v>48445.97777999999</v>
      </c>
      <c r="R48" s="442"/>
      <c r="S48" s="446"/>
    </row>
    <row r="49" spans="1:17" ht="35.25" customHeight="1">
      <c r="A49" s="55">
        <v>26</v>
      </c>
      <c r="B49" s="327" t="s">
        <v>824</v>
      </c>
      <c r="C49" s="447"/>
      <c r="D49" s="53" t="s">
        <v>1013</v>
      </c>
      <c r="E49" s="448">
        <f>145.2*1.086275*1.1112*1.0685</f>
        <v>187.27213435563596</v>
      </c>
      <c r="F49" s="429">
        <v>20</v>
      </c>
      <c r="G49" s="417">
        <f>F49*E49</f>
        <v>3745.442687112719</v>
      </c>
      <c r="H49" s="429">
        <v>20</v>
      </c>
      <c r="I49" s="417">
        <f>E49*H49</f>
        <v>3745.442687112719</v>
      </c>
      <c r="J49" s="53"/>
      <c r="K49" s="417"/>
      <c r="L49" s="53"/>
      <c r="M49" s="417"/>
      <c r="N49" s="417"/>
      <c r="O49" s="417"/>
      <c r="P49" s="417"/>
      <c r="Q49" s="417"/>
    </row>
    <row r="50" spans="1:23" ht="33.75" customHeight="1">
      <c r="A50" s="449" t="s">
        <v>825</v>
      </c>
      <c r="B50" s="443" t="s">
        <v>310</v>
      </c>
      <c r="C50" s="427"/>
      <c r="D50" s="450" t="s">
        <v>28</v>
      </c>
      <c r="E50" s="417">
        <f>1664*1.27*1.0891*1.086275*1.1112*1.0685</f>
        <v>2968.460981603261</v>
      </c>
      <c r="F50" s="53">
        <v>3.4</v>
      </c>
      <c r="G50" s="417">
        <f>F50*E50</f>
        <v>10092.767337451089</v>
      </c>
      <c r="H50" s="53">
        <f>+F50</f>
        <v>3.4</v>
      </c>
      <c r="I50" s="417">
        <f>H50*E50</f>
        <v>10092.767337451089</v>
      </c>
      <c r="J50" s="53">
        <v>8.4</v>
      </c>
      <c r="K50" s="417">
        <f>J50*E50</f>
        <v>24935.072245467396</v>
      </c>
      <c r="L50" s="53">
        <v>8.4</v>
      </c>
      <c r="M50" s="417">
        <f>L50*E50</f>
        <v>24935.072245467396</v>
      </c>
      <c r="N50" s="53">
        <v>12.4</v>
      </c>
      <c r="O50" s="417">
        <f>N50*E50</f>
        <v>36808.91617188044</v>
      </c>
      <c r="P50" s="53">
        <f>+N50</f>
        <v>12.4</v>
      </c>
      <c r="Q50" s="417">
        <f>P50*E50</f>
        <v>36808.91617188044</v>
      </c>
      <c r="V50" s="451"/>
      <c r="W50" s="452"/>
    </row>
    <row r="51" spans="1:18" ht="21.75" customHeight="1">
      <c r="A51" s="402">
        <v>28</v>
      </c>
      <c r="B51" s="327" t="s">
        <v>826</v>
      </c>
      <c r="C51" s="427"/>
      <c r="D51" s="453"/>
      <c r="E51" s="54"/>
      <c r="F51" s="454"/>
      <c r="G51" s="453">
        <v>40323.47</v>
      </c>
      <c r="H51" s="454"/>
      <c r="I51" s="453">
        <f>+G51</f>
        <v>40323.47</v>
      </c>
      <c r="J51" s="54"/>
      <c r="K51" s="453">
        <v>46430.65</v>
      </c>
      <c r="L51" s="54"/>
      <c r="M51" s="453">
        <f>+K51</f>
        <v>46430.65</v>
      </c>
      <c r="N51" s="454"/>
      <c r="O51" s="453">
        <v>48696.74</v>
      </c>
      <c r="P51" s="454"/>
      <c r="Q51" s="453">
        <f>+O51</f>
        <v>48696.74</v>
      </c>
      <c r="R51" s="149"/>
    </row>
    <row r="52" spans="1:17" ht="18.75" customHeight="1">
      <c r="A52" s="402">
        <v>29</v>
      </c>
      <c r="B52" s="327" t="s">
        <v>940</v>
      </c>
      <c r="C52" s="427"/>
      <c r="D52" s="453"/>
      <c r="E52" s="54"/>
      <c r="F52" s="454"/>
      <c r="G52" s="453">
        <f>8760.17*1.1797*1.1402*0.9368</f>
        <v>11038.55008049043</v>
      </c>
      <c r="H52" s="454"/>
      <c r="I52" s="453">
        <f>+G52</f>
        <v>11038.55008049043</v>
      </c>
      <c r="J52" s="54"/>
      <c r="K52" s="453">
        <f>9570.42*1.1797*1.1402*0.9368</f>
        <v>12059.533143914698</v>
      </c>
      <c r="L52" s="54"/>
      <c r="M52" s="453">
        <f>+K52</f>
        <v>12059.533143914698</v>
      </c>
      <c r="N52" s="454"/>
      <c r="O52" s="453">
        <f>+M52</f>
        <v>12059.533143914698</v>
      </c>
      <c r="P52" s="454"/>
      <c r="Q52" s="453">
        <f>+O52</f>
        <v>12059.533143914698</v>
      </c>
    </row>
    <row r="53" spans="1:18" ht="18.75" customHeight="1">
      <c r="A53" s="398">
        <v>30</v>
      </c>
      <c r="B53" s="439" t="s">
        <v>938</v>
      </c>
      <c r="C53" s="427"/>
      <c r="D53" s="453"/>
      <c r="E53" s="54"/>
      <c r="F53" s="454"/>
      <c r="G53" s="739">
        <f>G47+G48+G49+G50+G51+G52</f>
        <v>394195.01730505424</v>
      </c>
      <c r="H53" s="251"/>
      <c r="I53" s="739">
        <f>I47+I48+I49+I50+I51+I52</f>
        <v>329893.84630505426</v>
      </c>
      <c r="J53" s="397"/>
      <c r="K53" s="739">
        <f>K47+K48+K49+K50+K51+K52</f>
        <v>579416.395510082</v>
      </c>
      <c r="L53" s="397"/>
      <c r="M53" s="739">
        <f>M47+M48+M49+M50+M51+M52</f>
        <v>515115.22451008216</v>
      </c>
      <c r="N53" s="251"/>
      <c r="O53" s="739">
        <f>O47+O48+O49+O50+O51+O52</f>
        <v>748600.980095795</v>
      </c>
      <c r="P53" s="251"/>
      <c r="Q53" s="739">
        <f>Q47+Q48+Q49+Q50+Q51+Q52</f>
        <v>684299.8090957949</v>
      </c>
      <c r="R53" s="455"/>
    </row>
    <row r="54" spans="1:18" ht="48.75" customHeight="1">
      <c r="A54" s="402">
        <v>31</v>
      </c>
      <c r="B54" s="443" t="s">
        <v>939</v>
      </c>
      <c r="C54" s="427"/>
      <c r="D54" s="453"/>
      <c r="E54" s="54">
        <v>0.11</v>
      </c>
      <c r="F54" s="454"/>
      <c r="G54" s="453">
        <f>G47*E54</f>
        <v>33201.3088</v>
      </c>
      <c r="H54" s="454"/>
      <c r="I54" s="453">
        <f>I47*E54</f>
        <v>26712.1998</v>
      </c>
      <c r="J54" s="54"/>
      <c r="K54" s="453">
        <f>K47*E54</f>
        <v>50054.151755299994</v>
      </c>
      <c r="L54" s="54"/>
      <c r="M54" s="453">
        <f>M47*E54</f>
        <v>43565.0427553</v>
      </c>
      <c r="N54" s="454"/>
      <c r="O54" s="453">
        <f>O47*E54</f>
        <v>65700.85961999999</v>
      </c>
      <c r="P54" s="454"/>
      <c r="Q54" s="453">
        <f>Q47*E54</f>
        <v>59211.750619999984</v>
      </c>
      <c r="R54" s="455"/>
    </row>
    <row r="55" spans="1:17" ht="32.25" customHeight="1">
      <c r="A55" s="402">
        <v>32</v>
      </c>
      <c r="B55" s="327" t="s">
        <v>1338</v>
      </c>
      <c r="C55" s="427"/>
      <c r="D55" s="417"/>
      <c r="E55" s="53"/>
      <c r="F55" s="454"/>
      <c r="G55" s="417">
        <f>G53+G54</f>
        <v>427396.32610505424</v>
      </c>
      <c r="H55" s="417"/>
      <c r="I55" s="417">
        <f>I53+I54</f>
        <v>356606.04610505427</v>
      </c>
      <c r="J55" s="417"/>
      <c r="K55" s="417">
        <f>K53+K54</f>
        <v>629470.547265382</v>
      </c>
      <c r="L55" s="417"/>
      <c r="M55" s="417">
        <f>M53+M54</f>
        <v>558680.2672653821</v>
      </c>
      <c r="N55" s="417"/>
      <c r="O55" s="417">
        <f>O53+O54</f>
        <v>814301.839715795</v>
      </c>
      <c r="P55" s="417"/>
      <c r="Q55" s="417">
        <f>Q53+Q54</f>
        <v>743511.5597157949</v>
      </c>
    </row>
    <row r="56" spans="1:17" ht="34.5" customHeight="1">
      <c r="A56" s="456">
        <v>33</v>
      </c>
      <c r="B56" s="457" t="s">
        <v>1339</v>
      </c>
      <c r="C56" s="458"/>
      <c r="D56" s="441"/>
      <c r="E56" s="398"/>
      <c r="F56" s="454"/>
      <c r="G56" s="441">
        <f>ROUND(G55,0)</f>
        <v>427396</v>
      </c>
      <c r="H56" s="53"/>
      <c r="I56" s="441">
        <f>ROUND(I55,0)</f>
        <v>356606</v>
      </c>
      <c r="J56" s="53"/>
      <c r="K56" s="441">
        <f>ROUND(K55,0)</f>
        <v>629471</v>
      </c>
      <c r="L56" s="53"/>
      <c r="M56" s="441">
        <f>ROUND(M55,0)</f>
        <v>558680</v>
      </c>
      <c r="N56" s="454"/>
      <c r="O56" s="441">
        <f>ROUND(O55,0)</f>
        <v>814302</v>
      </c>
      <c r="P56" s="53"/>
      <c r="Q56" s="441">
        <f>ROUND(Q55,0)</f>
        <v>743512</v>
      </c>
    </row>
    <row r="57" spans="1:13" ht="14.25">
      <c r="A57" s="459"/>
      <c r="B57" s="460"/>
      <c r="C57" s="461"/>
      <c r="D57" s="460"/>
      <c r="E57" s="460"/>
      <c r="F57" s="460"/>
      <c r="G57" s="460"/>
      <c r="H57" s="460"/>
      <c r="I57" s="460"/>
      <c r="J57" s="460"/>
      <c r="K57" s="460"/>
      <c r="L57" s="460"/>
      <c r="M57" s="462"/>
    </row>
    <row r="58" spans="1:13" ht="18" customHeight="1">
      <c r="A58" s="463"/>
      <c r="B58" s="826" t="s">
        <v>827</v>
      </c>
      <c r="C58" s="826"/>
      <c r="D58" s="460"/>
      <c r="E58" s="460"/>
      <c r="F58" s="460"/>
      <c r="G58" s="460"/>
      <c r="H58" s="460"/>
      <c r="I58" s="460"/>
      <c r="J58" s="460"/>
      <c r="K58" s="460"/>
      <c r="L58" s="460"/>
      <c r="M58" s="460"/>
    </row>
    <row r="59" spans="1:13" ht="14.25">
      <c r="A59" s="459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</row>
    <row r="60" spans="1:13" ht="14.25">
      <c r="A60" s="459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</row>
    <row r="61" spans="1:13" ht="14.25">
      <c r="A61" s="459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</row>
    <row r="62" spans="1:13" ht="14.25">
      <c r="A62" s="459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</row>
    <row r="63" spans="1:13" ht="14.25">
      <c r="A63" s="459"/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</row>
    <row r="64" spans="1:13" ht="14.25">
      <c r="A64" s="459"/>
      <c r="B64" s="464"/>
      <c r="C64" s="465"/>
      <c r="D64" s="465"/>
      <c r="E64" s="466"/>
      <c r="F64" s="466"/>
      <c r="G64" s="466"/>
      <c r="H64" s="466"/>
      <c r="I64" s="466"/>
      <c r="J64" s="467"/>
      <c r="K64" s="467"/>
      <c r="L64" s="460"/>
      <c r="M64" s="460"/>
    </row>
    <row r="65" spans="1:13" ht="14.25">
      <c r="A65" s="459"/>
      <c r="B65" s="464"/>
      <c r="C65" s="465"/>
      <c r="D65" s="465"/>
      <c r="E65" s="466"/>
      <c r="F65" s="466"/>
      <c r="G65" s="466"/>
      <c r="H65" s="466"/>
      <c r="I65" s="466"/>
      <c r="J65" s="467"/>
      <c r="K65" s="467"/>
      <c r="L65" s="460"/>
      <c r="M65" s="460"/>
    </row>
    <row r="66" spans="1:13" ht="14.25">
      <c r="A66" s="459"/>
      <c r="B66" s="464"/>
      <c r="C66" s="465"/>
      <c r="D66" s="465"/>
      <c r="E66" s="466"/>
      <c r="F66" s="466"/>
      <c r="G66" s="466"/>
      <c r="H66" s="466"/>
      <c r="I66" s="466"/>
      <c r="J66" s="467"/>
      <c r="K66" s="467"/>
      <c r="L66" s="460"/>
      <c r="M66" s="460"/>
    </row>
    <row r="67" spans="1:13" ht="14.25">
      <c r="A67" s="459"/>
      <c r="B67" s="464"/>
      <c r="C67" s="465"/>
      <c r="D67" s="465"/>
      <c r="E67" s="466"/>
      <c r="F67" s="466"/>
      <c r="G67" s="466"/>
      <c r="H67" s="466"/>
      <c r="I67" s="466"/>
      <c r="J67" s="467"/>
      <c r="K67" s="467"/>
      <c r="L67" s="460"/>
      <c r="M67" s="460"/>
    </row>
    <row r="68" spans="1:13" ht="14.25">
      <c r="A68" s="459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</row>
    <row r="69" spans="1:13" ht="14.25">
      <c r="A69" s="459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</row>
    <row r="70" spans="1:13" ht="14.25">
      <c r="A70" s="459"/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</row>
    <row r="71" spans="1:13" ht="14.25">
      <c r="A71" s="459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</row>
    <row r="72" spans="1:13" ht="14.25">
      <c r="A72" s="459"/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</row>
    <row r="73" spans="1:13" ht="14.25">
      <c r="A73" s="459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</row>
    <row r="74" spans="1:13" ht="14.25">
      <c r="A74" s="459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</row>
    <row r="75" spans="1:13" ht="14.25">
      <c r="A75" s="459"/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</row>
    <row r="76" spans="1:13" ht="14.25">
      <c r="A76" s="459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3" ht="14.25">
      <c r="A77" s="459"/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</row>
    <row r="78" spans="1:13" ht="14.25">
      <c r="A78" s="459"/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</row>
    <row r="79" spans="1:13" ht="14.25">
      <c r="A79" s="459"/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</row>
    <row r="80" spans="1:13" ht="14.25">
      <c r="A80" s="459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</row>
    <row r="81" spans="1:13" ht="14.25">
      <c r="A81" s="459"/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</row>
    <row r="82" spans="1:13" ht="14.25">
      <c r="A82" s="459"/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</row>
    <row r="83" spans="1:13" ht="14.25">
      <c r="A83" s="459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</row>
    <row r="84" spans="1:13" ht="14.25">
      <c r="A84" s="459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</row>
    <row r="85" spans="1:13" ht="14.25">
      <c r="A85" s="459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</row>
    <row r="86" spans="1:13" ht="14.25">
      <c r="A86" s="459"/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</row>
    <row r="87" spans="1:13" ht="14.25">
      <c r="A87" s="459"/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</row>
    <row r="88" spans="1:13" ht="14.25">
      <c r="A88" s="459"/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</row>
    <row r="89" spans="1:13" ht="14.25">
      <c r="A89" s="459"/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</row>
    <row r="90" spans="1:13" ht="14.25">
      <c r="A90" s="459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</row>
    <row r="91" spans="1:13" ht="14.25">
      <c r="A91" s="459"/>
      <c r="B91" s="460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</row>
    <row r="92" spans="1:13" ht="14.25">
      <c r="A92" s="459"/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</row>
    <row r="93" spans="1:13" ht="14.25">
      <c r="A93" s="459"/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</row>
    <row r="94" spans="1:13" ht="14.25">
      <c r="A94" s="459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</row>
    <row r="95" spans="1:13" ht="14.25">
      <c r="A95" s="459"/>
      <c r="B95" s="460"/>
      <c r="C95" s="460"/>
      <c r="D95" s="460"/>
      <c r="E95" s="460"/>
      <c r="F95" s="460"/>
      <c r="G95" s="460"/>
      <c r="H95" s="460"/>
      <c r="I95" s="460"/>
      <c r="J95" s="460"/>
      <c r="K95" s="460"/>
      <c r="L95" s="460"/>
      <c r="M95" s="460"/>
    </row>
    <row r="96" spans="1:13" ht="14.25">
      <c r="A96" s="459"/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</row>
    <row r="97" spans="1:13" ht="14.25">
      <c r="A97" s="459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</row>
    <row r="98" spans="1:13" ht="14.25">
      <c r="A98" s="459"/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</row>
    <row r="99" spans="1:13" ht="14.25">
      <c r="A99" s="459"/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</row>
    <row r="100" spans="1:13" ht="14.25">
      <c r="A100" s="459"/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</row>
    <row r="101" spans="1:13" ht="14.25">
      <c r="A101" s="459"/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</row>
    <row r="102" spans="1:13" ht="14.25">
      <c r="A102" s="459"/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</row>
    <row r="103" spans="1:13" ht="14.25">
      <c r="A103" s="459"/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</row>
    <row r="104" spans="1:13" ht="14.25">
      <c r="A104" s="459"/>
      <c r="B104" s="460"/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</row>
    <row r="105" spans="1:13" ht="14.25">
      <c r="A105" s="459"/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</row>
    <row r="106" spans="1:13" ht="14.25">
      <c r="A106" s="459"/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</row>
    <row r="107" spans="1:13" ht="14.25">
      <c r="A107" s="459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</row>
    <row r="108" spans="1:13" ht="14.25">
      <c r="A108" s="459"/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</row>
    <row r="109" spans="1:13" ht="14.25">
      <c r="A109" s="459"/>
      <c r="B109" s="460"/>
      <c r="C109" s="460"/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</row>
    <row r="110" spans="1:13" ht="14.25">
      <c r="A110" s="459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</row>
    <row r="111" spans="1:13" ht="14.25">
      <c r="A111" s="459"/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</row>
    <row r="112" spans="1:13" ht="14.25">
      <c r="A112" s="459"/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</row>
    <row r="113" spans="1:13" ht="14.25">
      <c r="A113" s="459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</row>
    <row r="114" spans="1:13" ht="14.25">
      <c r="A114" s="459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1:13" ht="14.25">
      <c r="A115" s="459"/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</row>
    <row r="116" spans="1:13" ht="14.25">
      <c r="A116" s="459"/>
      <c r="B116" s="460"/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</row>
    <row r="117" spans="1:13" ht="14.25">
      <c r="A117" s="459"/>
      <c r="B117" s="460"/>
      <c r="C117" s="460"/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</row>
    <row r="118" spans="1:13" ht="14.25">
      <c r="A118" s="459"/>
      <c r="B118" s="460"/>
      <c r="C118" s="460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</row>
    <row r="119" spans="1:13" ht="14.25">
      <c r="A119" s="459"/>
      <c r="B119" s="460"/>
      <c r="C119" s="460"/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</row>
    <row r="120" spans="1:13" ht="14.25">
      <c r="A120" s="459"/>
      <c r="B120" s="460"/>
      <c r="C120" s="460"/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</row>
    <row r="121" spans="1:13" ht="14.25">
      <c r="A121" s="459"/>
      <c r="B121" s="460"/>
      <c r="C121" s="460"/>
      <c r="D121" s="460"/>
      <c r="E121" s="460"/>
      <c r="F121" s="460"/>
      <c r="G121" s="460"/>
      <c r="H121" s="460"/>
      <c r="I121" s="460"/>
      <c r="J121" s="460"/>
      <c r="K121" s="460"/>
      <c r="L121" s="460"/>
      <c r="M121" s="460"/>
    </row>
    <row r="122" spans="1:13" ht="14.25">
      <c r="A122" s="459"/>
      <c r="B122" s="460"/>
      <c r="C122" s="460"/>
      <c r="D122" s="460"/>
      <c r="E122" s="460"/>
      <c r="F122" s="460"/>
      <c r="G122" s="460"/>
      <c r="H122" s="460"/>
      <c r="I122" s="460"/>
      <c r="J122" s="460"/>
      <c r="K122" s="460"/>
      <c r="L122" s="460"/>
      <c r="M122" s="460"/>
    </row>
    <row r="123" spans="1:13" ht="14.25">
      <c r="A123" s="459"/>
      <c r="B123" s="460"/>
      <c r="C123" s="460"/>
      <c r="D123" s="460"/>
      <c r="E123" s="460"/>
      <c r="F123" s="460"/>
      <c r="G123" s="460"/>
      <c r="H123" s="460"/>
      <c r="I123" s="460"/>
      <c r="J123" s="460"/>
      <c r="K123" s="460"/>
      <c r="L123" s="460"/>
      <c r="M123" s="460"/>
    </row>
    <row r="124" spans="1:13" ht="14.25">
      <c r="A124" s="459"/>
      <c r="B124" s="460"/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</row>
    <row r="125" spans="1:13" ht="14.25">
      <c r="A125" s="459"/>
      <c r="B125" s="460"/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</row>
  </sheetData>
  <sheetProtection/>
  <mergeCells count="26">
    <mergeCell ref="P7:Q7"/>
    <mergeCell ref="B58:C58"/>
    <mergeCell ref="A22:A24"/>
    <mergeCell ref="A25:A26"/>
    <mergeCell ref="A27:A30"/>
    <mergeCell ref="A44:A46"/>
    <mergeCell ref="N6:Q6"/>
    <mergeCell ref="F7:G7"/>
    <mergeCell ref="H7:I7"/>
    <mergeCell ref="J7:K7"/>
    <mergeCell ref="A6:A8"/>
    <mergeCell ref="B6:B8"/>
    <mergeCell ref="C6:C8"/>
    <mergeCell ref="D6:D8"/>
    <mergeCell ref="L7:M7"/>
    <mergeCell ref="N7:O7"/>
    <mergeCell ref="S14:V14"/>
    <mergeCell ref="S16:V16"/>
    <mergeCell ref="S13:V13"/>
    <mergeCell ref="S15:W15"/>
    <mergeCell ref="D1:H1"/>
    <mergeCell ref="B3:L3"/>
    <mergeCell ref="P5:Q5"/>
    <mergeCell ref="E6:E8"/>
    <mergeCell ref="F6:I6"/>
    <mergeCell ref="J6:M6"/>
  </mergeCells>
  <conditionalFormatting sqref="B47:B48">
    <cfRule type="cellIs" priority="1" dxfId="0" operator="equal" stopIfTrue="1">
      <formula>"?"</formula>
    </cfRule>
  </conditionalFormatting>
  <printOptions horizontalCentered="1"/>
  <pageMargins left="0.21" right="0" top="0.77" bottom="0.36" header="0.52" footer="0.15"/>
  <pageSetup fitToHeight="3" horizontalDpi="600" verticalDpi="600" orientation="landscape" paperSize="9" scale="80" r:id="rId1"/>
  <rowBreaks count="1" manualBreakCount="1">
    <brk id="39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8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57421875" style="23" customWidth="1"/>
    <col min="2" max="2" width="47.8515625" style="2" customWidth="1"/>
    <col min="3" max="3" width="12.7109375" style="2" customWidth="1"/>
    <col min="4" max="4" width="5.8515625" style="2" customWidth="1"/>
    <col min="5" max="5" width="8.8515625" style="2" customWidth="1"/>
    <col min="6" max="6" width="5.57421875" style="2" bestFit="1" customWidth="1"/>
    <col min="7" max="7" width="15.28125" style="2" customWidth="1"/>
    <col min="8" max="8" width="8.421875" style="2" bestFit="1" customWidth="1"/>
    <col min="9" max="9" width="16.28125" style="2" customWidth="1"/>
    <col min="10" max="10" width="5.57421875" style="2" bestFit="1" customWidth="1"/>
    <col min="11" max="11" width="17.7109375" style="2" customWidth="1"/>
    <col min="12" max="12" width="12.421875" style="2" customWidth="1"/>
    <col min="13" max="13" width="15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11" ht="18.75" customHeight="1">
      <c r="A1" s="389"/>
      <c r="B1" s="390"/>
      <c r="C1" s="816" t="s">
        <v>828</v>
      </c>
      <c r="D1" s="816"/>
      <c r="E1" s="816"/>
      <c r="F1" s="816"/>
      <c r="G1" s="816"/>
      <c r="H1" s="390"/>
      <c r="I1" s="390"/>
      <c r="J1" s="390"/>
      <c r="K1" s="390"/>
    </row>
    <row r="2" spans="1:11" ht="12" customHeight="1">
      <c r="A2" s="389"/>
      <c r="B2" s="390"/>
      <c r="C2" s="390"/>
      <c r="D2" s="393"/>
      <c r="E2" s="393"/>
      <c r="F2" s="393"/>
      <c r="G2" s="390"/>
      <c r="H2" s="390"/>
      <c r="I2" s="390"/>
      <c r="J2" s="390"/>
      <c r="K2" s="390"/>
    </row>
    <row r="3" spans="1:11" ht="48.75" customHeight="1">
      <c r="A3" s="389"/>
      <c r="B3" s="781" t="s">
        <v>1041</v>
      </c>
      <c r="C3" s="781"/>
      <c r="D3" s="781"/>
      <c r="E3" s="781"/>
      <c r="F3" s="781"/>
      <c r="G3" s="781"/>
      <c r="H3" s="781"/>
      <c r="I3" s="781"/>
      <c r="J3" s="781"/>
      <c r="K3" s="317"/>
    </row>
    <row r="4" spans="1:11" ht="15" customHeight="1">
      <c r="A4" s="395"/>
      <c r="B4" s="396"/>
      <c r="C4" s="396"/>
      <c r="D4" s="396"/>
      <c r="E4" s="396"/>
      <c r="F4" s="46"/>
      <c r="G4" s="46"/>
      <c r="H4" s="46"/>
      <c r="I4" s="46"/>
      <c r="J4" s="392"/>
      <c r="K4" s="392"/>
    </row>
    <row r="5" spans="1:11" ht="15" customHeight="1">
      <c r="A5" s="395"/>
      <c r="B5" s="395"/>
      <c r="C5" s="395"/>
      <c r="D5" s="395"/>
      <c r="E5" s="395"/>
      <c r="F5" s="395"/>
      <c r="G5" s="395"/>
      <c r="H5" s="395"/>
      <c r="I5" s="392"/>
      <c r="J5" s="817" t="s">
        <v>1003</v>
      </c>
      <c r="K5" s="817"/>
    </row>
    <row r="6" spans="1:11" ht="15">
      <c r="A6" s="395"/>
      <c r="B6" s="395"/>
      <c r="C6" s="395"/>
      <c r="D6" s="395"/>
      <c r="E6" s="395"/>
      <c r="F6" s="395"/>
      <c r="G6" s="395"/>
      <c r="H6" s="395"/>
      <c r="I6" s="399"/>
      <c r="J6" s="395"/>
      <c r="K6" s="395"/>
    </row>
    <row r="7" spans="1:11" ht="108.75" customHeight="1">
      <c r="A7" s="821" t="s">
        <v>191</v>
      </c>
      <c r="B7" s="821" t="s">
        <v>23</v>
      </c>
      <c r="C7" s="821" t="s">
        <v>698</v>
      </c>
      <c r="D7" s="821" t="s">
        <v>24</v>
      </c>
      <c r="E7" s="821" t="s">
        <v>80</v>
      </c>
      <c r="F7" s="821" t="s">
        <v>829</v>
      </c>
      <c r="G7" s="821"/>
      <c r="H7" s="821" t="s">
        <v>830</v>
      </c>
      <c r="I7" s="821"/>
      <c r="J7" s="821" t="s">
        <v>831</v>
      </c>
      <c r="K7" s="821"/>
    </row>
    <row r="8" spans="1:11" ht="15">
      <c r="A8" s="821"/>
      <c r="B8" s="821"/>
      <c r="C8" s="821"/>
      <c r="D8" s="821"/>
      <c r="E8" s="821"/>
      <c r="F8" s="398" t="s">
        <v>309</v>
      </c>
      <c r="G8" s="398" t="s">
        <v>1047</v>
      </c>
      <c r="H8" s="398" t="s">
        <v>309</v>
      </c>
      <c r="I8" s="398" t="s">
        <v>1047</v>
      </c>
      <c r="J8" s="398" t="s">
        <v>309</v>
      </c>
      <c r="K8" s="398" t="s">
        <v>1047</v>
      </c>
    </row>
    <row r="9" spans="1:11" ht="15">
      <c r="A9" s="400" t="s">
        <v>892</v>
      </c>
      <c r="B9" s="400" t="s">
        <v>893</v>
      </c>
      <c r="C9" s="401">
        <v>3</v>
      </c>
      <c r="D9" s="400">
        <v>4</v>
      </c>
      <c r="E9" s="400">
        <v>5</v>
      </c>
      <c r="F9" s="400">
        <v>6</v>
      </c>
      <c r="G9" s="400">
        <v>7</v>
      </c>
      <c r="H9" s="400">
        <v>6</v>
      </c>
      <c r="I9" s="400">
        <v>7</v>
      </c>
      <c r="J9" s="400">
        <v>6</v>
      </c>
      <c r="K9" s="400">
        <v>7</v>
      </c>
    </row>
    <row r="10" spans="1:11" ht="31.5" customHeight="1">
      <c r="A10" s="402" t="s">
        <v>1048</v>
      </c>
      <c r="B10" s="403" t="s">
        <v>1049</v>
      </c>
      <c r="C10" s="91">
        <v>7130600675</v>
      </c>
      <c r="D10" s="402" t="s">
        <v>32</v>
      </c>
      <c r="E10" s="404">
        <f>VLOOKUP(C10,'SOR RATE'!A:D,4,0)/1000</f>
        <v>44.989</v>
      </c>
      <c r="F10" s="402"/>
      <c r="G10" s="405"/>
      <c r="H10" s="404">
        <v>3626.07</v>
      </c>
      <c r="I10" s="406">
        <f>H10*E10</f>
        <v>163133.26323</v>
      </c>
      <c r="J10" s="402"/>
      <c r="K10" s="405"/>
    </row>
    <row r="11" spans="1:11" ht="30.75" customHeight="1">
      <c r="A11" s="402" t="s">
        <v>755</v>
      </c>
      <c r="B11" s="409" t="s">
        <v>330</v>
      </c>
      <c r="C11" s="91">
        <v>7130601958</v>
      </c>
      <c r="D11" s="402" t="s">
        <v>32</v>
      </c>
      <c r="E11" s="404">
        <f>VLOOKUP(C11,'SOR RATE'!A:D,4,0)/1000</f>
        <v>44.989</v>
      </c>
      <c r="F11" s="402"/>
      <c r="G11" s="406"/>
      <c r="H11" s="402"/>
      <c r="I11" s="405"/>
      <c r="J11" s="731">
        <v>6678</v>
      </c>
      <c r="K11" s="406">
        <f>J11*E11</f>
        <v>300436.54199999996</v>
      </c>
    </row>
    <row r="12" spans="1:11" ht="17.25" customHeight="1">
      <c r="A12" s="402" t="s">
        <v>331</v>
      </c>
      <c r="B12" s="411" t="s">
        <v>332</v>
      </c>
      <c r="C12" s="152">
        <v>7130800012</v>
      </c>
      <c r="D12" s="412" t="s">
        <v>26</v>
      </c>
      <c r="E12" s="404">
        <f>VLOOKUP(C12,'SOR RATE'!A:D,4,0)</f>
        <v>1654</v>
      </c>
      <c r="F12" s="405">
        <v>20</v>
      </c>
      <c r="G12" s="406">
        <f aca="true" t="shared" si="0" ref="G12:G18">F12*E12</f>
        <v>33080</v>
      </c>
      <c r="H12" s="405"/>
      <c r="I12" s="405"/>
      <c r="J12" s="405"/>
      <c r="K12" s="406"/>
    </row>
    <row r="13" spans="1:16" ht="30.75" customHeight="1">
      <c r="A13" s="402">
        <v>2</v>
      </c>
      <c r="B13" s="413" t="s">
        <v>1215</v>
      </c>
      <c r="C13" s="91">
        <v>7130797533</v>
      </c>
      <c r="D13" s="53" t="s">
        <v>26</v>
      </c>
      <c r="E13" s="404">
        <f>VLOOKUP(C13,'SOR RATE'!A:D,4,0)</f>
        <v>435</v>
      </c>
      <c r="F13" s="415">
        <v>22</v>
      </c>
      <c r="G13" s="416">
        <f t="shared" si="0"/>
        <v>9570</v>
      </c>
      <c r="H13" s="415">
        <v>22</v>
      </c>
      <c r="I13" s="416">
        <f aca="true" t="shared" si="1" ref="I13:I18">H13*E13</f>
        <v>9570</v>
      </c>
      <c r="J13" s="415">
        <v>22</v>
      </c>
      <c r="K13" s="416">
        <f aca="true" t="shared" si="2" ref="K13:K18">J13*E13</f>
        <v>9570</v>
      </c>
      <c r="L13" s="751"/>
      <c r="M13" s="815" t="s">
        <v>1160</v>
      </c>
      <c r="N13" s="815"/>
      <c r="O13" s="815"/>
      <c r="P13" s="815"/>
    </row>
    <row r="14" spans="1:16" ht="31.5" customHeight="1">
      <c r="A14" s="402" t="s">
        <v>312</v>
      </c>
      <c r="B14" s="729" t="s">
        <v>656</v>
      </c>
      <c r="C14" s="91">
        <v>7130390003</v>
      </c>
      <c r="D14" s="53" t="s">
        <v>26</v>
      </c>
      <c r="E14" s="404">
        <f>VLOOKUP(C14,'SOR RATE'!A:D,4,0)</f>
        <v>80</v>
      </c>
      <c r="F14" s="415">
        <v>30</v>
      </c>
      <c r="G14" s="416">
        <f t="shared" si="0"/>
        <v>2400</v>
      </c>
      <c r="H14" s="415">
        <v>30</v>
      </c>
      <c r="I14" s="416">
        <f t="shared" si="1"/>
        <v>2400</v>
      </c>
      <c r="J14" s="415">
        <v>30</v>
      </c>
      <c r="K14" s="416">
        <f t="shared" si="2"/>
        <v>2400</v>
      </c>
      <c r="L14" s="755"/>
      <c r="M14" s="814" t="s">
        <v>835</v>
      </c>
      <c r="N14" s="814"/>
      <c r="O14" s="814"/>
      <c r="P14" s="814"/>
    </row>
    <row r="15" spans="1:16" ht="29.25" customHeight="1">
      <c r="A15" s="402" t="s">
        <v>1005</v>
      </c>
      <c r="B15" s="729" t="s">
        <v>657</v>
      </c>
      <c r="C15" s="53">
        <v>7130390004</v>
      </c>
      <c r="D15" s="53" t="s">
        <v>26</v>
      </c>
      <c r="E15" s="404">
        <f>VLOOKUP(C15,'SOR RATE'!A:D,4,0)</f>
        <v>104</v>
      </c>
      <c r="F15" s="415">
        <v>45</v>
      </c>
      <c r="G15" s="416">
        <f t="shared" si="0"/>
        <v>4680</v>
      </c>
      <c r="H15" s="415">
        <v>45</v>
      </c>
      <c r="I15" s="416">
        <f t="shared" si="1"/>
        <v>4680</v>
      </c>
      <c r="J15" s="415">
        <v>45</v>
      </c>
      <c r="K15" s="416">
        <f t="shared" si="2"/>
        <v>4680</v>
      </c>
      <c r="L15" s="755"/>
      <c r="M15" s="814" t="s">
        <v>836</v>
      </c>
      <c r="N15" s="814"/>
      <c r="O15" s="814"/>
      <c r="P15" s="814"/>
    </row>
    <row r="16" spans="1:16" ht="32.25" customHeight="1">
      <c r="A16" s="402" t="s">
        <v>1006</v>
      </c>
      <c r="B16" s="729" t="s">
        <v>658</v>
      </c>
      <c r="C16" s="53">
        <v>7130390005</v>
      </c>
      <c r="D16" s="53" t="s">
        <v>26</v>
      </c>
      <c r="E16" s="404">
        <f>VLOOKUP(C16,'SOR RATE'!A:D,4,0)</f>
        <v>145</v>
      </c>
      <c r="F16" s="415">
        <v>24</v>
      </c>
      <c r="G16" s="416">
        <f t="shared" si="0"/>
        <v>3480</v>
      </c>
      <c r="H16" s="415">
        <v>24</v>
      </c>
      <c r="I16" s="416">
        <f t="shared" si="1"/>
        <v>3480</v>
      </c>
      <c r="J16" s="415">
        <v>24</v>
      </c>
      <c r="K16" s="416">
        <f t="shared" si="2"/>
        <v>3480</v>
      </c>
      <c r="L16" s="755"/>
      <c r="M16" s="814" t="s">
        <v>837</v>
      </c>
      <c r="N16" s="814"/>
      <c r="O16" s="814"/>
      <c r="P16" s="814"/>
    </row>
    <row r="17" spans="1:11" ht="17.25" customHeight="1">
      <c r="A17" s="402">
        <v>4</v>
      </c>
      <c r="B17" s="413" t="s">
        <v>313</v>
      </c>
      <c r="C17" s="53">
        <v>7130390006</v>
      </c>
      <c r="D17" s="53" t="s">
        <v>897</v>
      </c>
      <c r="E17" s="404">
        <f>VLOOKUP(C17,'SOR RATE'!A:D,4,0)</f>
        <v>149</v>
      </c>
      <c r="F17" s="415">
        <v>41</v>
      </c>
      <c r="G17" s="416">
        <f t="shared" si="0"/>
        <v>6109</v>
      </c>
      <c r="H17" s="415">
        <v>41</v>
      </c>
      <c r="I17" s="416">
        <f t="shared" si="1"/>
        <v>6109</v>
      </c>
      <c r="J17" s="415">
        <v>41</v>
      </c>
      <c r="K17" s="416">
        <f t="shared" si="2"/>
        <v>6109</v>
      </c>
    </row>
    <row r="18" spans="1:13" ht="33.75" customHeight="1">
      <c r="A18" s="402">
        <v>5</v>
      </c>
      <c r="B18" s="413" t="s">
        <v>1443</v>
      </c>
      <c r="C18" s="454">
        <v>7130797532</v>
      </c>
      <c r="D18" s="53" t="s">
        <v>26</v>
      </c>
      <c r="E18" s="404">
        <f>VLOOKUP(C18,'SOR RATE'!A:D,4,0)</f>
        <v>599</v>
      </c>
      <c r="F18" s="415">
        <v>22</v>
      </c>
      <c r="G18" s="416">
        <f t="shared" si="0"/>
        <v>13178</v>
      </c>
      <c r="H18" s="415">
        <v>22</v>
      </c>
      <c r="I18" s="416">
        <f t="shared" si="1"/>
        <v>13178</v>
      </c>
      <c r="J18" s="415">
        <v>22</v>
      </c>
      <c r="K18" s="416">
        <f t="shared" si="2"/>
        <v>13178</v>
      </c>
      <c r="L18" s="753"/>
      <c r="M18" s="434" t="s">
        <v>652</v>
      </c>
    </row>
    <row r="19" spans="1:11" ht="15.75" customHeight="1">
      <c r="A19" s="402">
        <v>6</v>
      </c>
      <c r="B19" s="418" t="s">
        <v>314</v>
      </c>
      <c r="C19" s="420"/>
      <c r="D19" s="421"/>
      <c r="E19" s="421"/>
      <c r="F19" s="421"/>
      <c r="G19" s="421"/>
      <c r="H19" s="421"/>
      <c r="I19" s="421"/>
      <c r="J19" s="421"/>
      <c r="K19" s="422"/>
    </row>
    <row r="20" spans="1:12" ht="15.75" customHeight="1">
      <c r="A20" s="402" t="s">
        <v>315</v>
      </c>
      <c r="B20" s="423" t="s">
        <v>832</v>
      </c>
      <c r="C20" s="424">
        <v>7130300025</v>
      </c>
      <c r="D20" s="53" t="s">
        <v>307</v>
      </c>
      <c r="E20" s="404">
        <f>VLOOKUP(C20,'SOR RATE'!A:D,4,0)/1000</f>
        <v>225.744</v>
      </c>
      <c r="F20" s="415">
        <v>1100</v>
      </c>
      <c r="G20" s="416">
        <f>F20*E20</f>
        <v>248318.4</v>
      </c>
      <c r="H20" s="415">
        <v>1100</v>
      </c>
      <c r="I20" s="416">
        <f>H20*E20</f>
        <v>248318.4</v>
      </c>
      <c r="J20" s="415">
        <v>1100</v>
      </c>
      <c r="K20" s="416">
        <f>J20*E20</f>
        <v>248318.4</v>
      </c>
      <c r="L20" s="753"/>
    </row>
    <row r="21" spans="1:11" ht="14.25">
      <c r="A21" s="827">
        <v>7</v>
      </c>
      <c r="B21" s="327" t="s">
        <v>318</v>
      </c>
      <c r="C21" s="433">
        <v>7130860032</v>
      </c>
      <c r="D21" s="53" t="s">
        <v>26</v>
      </c>
      <c r="E21" s="404">
        <f>VLOOKUP(C21,'SOR RATE'!A:D,4,0)</f>
        <v>387</v>
      </c>
      <c r="F21" s="415">
        <v>12</v>
      </c>
      <c r="G21" s="416">
        <f>F21*E21</f>
        <v>4644</v>
      </c>
      <c r="H21" s="415">
        <v>12</v>
      </c>
      <c r="I21" s="416">
        <f>H21*E21</f>
        <v>4644</v>
      </c>
      <c r="J21" s="415">
        <v>12</v>
      </c>
      <c r="K21" s="416">
        <f>J21*E21</f>
        <v>4644</v>
      </c>
    </row>
    <row r="22" spans="1:11" ht="14.25">
      <c r="A22" s="828"/>
      <c r="B22" s="327" t="s">
        <v>319</v>
      </c>
      <c r="C22" s="433">
        <v>7130860077</v>
      </c>
      <c r="D22" s="53" t="s">
        <v>32</v>
      </c>
      <c r="E22" s="404">
        <f>VLOOKUP(C22,'SOR RATE'!A:D,4,0)/1000</f>
        <v>61.6</v>
      </c>
      <c r="F22" s="415">
        <v>72</v>
      </c>
      <c r="G22" s="416">
        <f>F22*E22</f>
        <v>4435.2</v>
      </c>
      <c r="H22" s="415">
        <v>72</v>
      </c>
      <c r="I22" s="416">
        <f>H22*E22</f>
        <v>4435.2</v>
      </c>
      <c r="J22" s="415">
        <v>72</v>
      </c>
      <c r="K22" s="416">
        <f>J22*E22</f>
        <v>4435.2</v>
      </c>
    </row>
    <row r="23" spans="1:11" ht="14.25">
      <c r="A23" s="829"/>
      <c r="B23" s="327" t="s">
        <v>782</v>
      </c>
      <c r="C23" s="290">
        <v>7130810026</v>
      </c>
      <c r="D23" s="53" t="s">
        <v>26</v>
      </c>
      <c r="E23" s="404">
        <f>VLOOKUP(C23,'SOR RATE'!A:D,4,0)</f>
        <v>142</v>
      </c>
      <c r="F23" s="415">
        <v>12</v>
      </c>
      <c r="G23" s="416">
        <f>F23*E23</f>
        <v>1704</v>
      </c>
      <c r="H23" s="415">
        <v>12</v>
      </c>
      <c r="I23" s="416">
        <f>H23*E23</f>
        <v>1704</v>
      </c>
      <c r="J23" s="415">
        <v>12</v>
      </c>
      <c r="K23" s="416">
        <f>J23*E23</f>
        <v>1704</v>
      </c>
    </row>
    <row r="24" spans="1:11" ht="57.75" customHeight="1">
      <c r="A24" s="827">
        <v>8</v>
      </c>
      <c r="B24" s="428" t="s">
        <v>320</v>
      </c>
      <c r="C24" s="433"/>
      <c r="D24" s="53" t="s">
        <v>1331</v>
      </c>
      <c r="E24" s="417"/>
      <c r="F24" s="415"/>
      <c r="G24" s="415"/>
      <c r="H24" s="415"/>
      <c r="I24" s="415"/>
      <c r="J24" s="415"/>
      <c r="K24" s="416"/>
    </row>
    <row r="25" spans="1:11" ht="18.75" customHeight="1">
      <c r="A25" s="829"/>
      <c r="B25" s="327" t="s">
        <v>777</v>
      </c>
      <c r="C25" s="91">
        <v>7130200401</v>
      </c>
      <c r="D25" s="53" t="s">
        <v>32</v>
      </c>
      <c r="E25" s="404">
        <f>VLOOKUP(C25,'SOR RATE'!A:D,4,0)/50</f>
        <v>5.36</v>
      </c>
      <c r="F25" s="415">
        <v>707</v>
      </c>
      <c r="G25" s="416">
        <f>F25*E25</f>
        <v>3789.5200000000004</v>
      </c>
      <c r="H25" s="429">
        <v>1747</v>
      </c>
      <c r="I25" s="416">
        <f>H25*E25</f>
        <v>9363.92</v>
      </c>
      <c r="J25" s="415">
        <v>2579</v>
      </c>
      <c r="K25" s="416">
        <f>J25*E25</f>
        <v>13823.44</v>
      </c>
    </row>
    <row r="26" spans="1:11" ht="15">
      <c r="A26" s="827">
        <v>9</v>
      </c>
      <c r="B26" s="423" t="s">
        <v>33</v>
      </c>
      <c r="C26" s="433"/>
      <c r="D26" s="53" t="s">
        <v>32</v>
      </c>
      <c r="E26" s="417"/>
      <c r="F26" s="415">
        <v>30</v>
      </c>
      <c r="G26" s="415"/>
      <c r="H26" s="415">
        <v>30</v>
      </c>
      <c r="I26" s="415"/>
      <c r="J26" s="415">
        <v>30</v>
      </c>
      <c r="K26" s="430"/>
    </row>
    <row r="27" spans="1:11" ht="14.25">
      <c r="A27" s="828"/>
      <c r="B27" s="431" t="s">
        <v>1333</v>
      </c>
      <c r="C27" s="433">
        <v>7130620573</v>
      </c>
      <c r="D27" s="53" t="s">
        <v>32</v>
      </c>
      <c r="E27" s="404">
        <f>VLOOKUP(C27,'SOR RATE'!A:D,4,0)</f>
        <v>64</v>
      </c>
      <c r="F27" s="415">
        <v>2</v>
      </c>
      <c r="G27" s="416">
        <f aca="true" t="shared" si="3" ref="G27:G42">F27*E27</f>
        <v>128</v>
      </c>
      <c r="H27" s="415">
        <v>2</v>
      </c>
      <c r="I27" s="416">
        <f aca="true" t="shared" si="4" ref="I27:I42">H27*E27</f>
        <v>128</v>
      </c>
      <c r="J27" s="415">
        <v>2</v>
      </c>
      <c r="K27" s="416">
        <f aca="true" t="shared" si="5" ref="K27:K42">J27*E27</f>
        <v>128</v>
      </c>
    </row>
    <row r="28" spans="1:11" ht="14.25">
      <c r="A28" s="828"/>
      <c r="B28" s="431" t="s">
        <v>1017</v>
      </c>
      <c r="C28" s="433">
        <v>7130620609</v>
      </c>
      <c r="D28" s="53" t="s">
        <v>32</v>
      </c>
      <c r="E28" s="404">
        <f>VLOOKUP(C28,'SOR RATE'!A:D,4,0)</f>
        <v>64</v>
      </c>
      <c r="F28" s="415">
        <v>14</v>
      </c>
      <c r="G28" s="416">
        <f t="shared" si="3"/>
        <v>896</v>
      </c>
      <c r="H28" s="415">
        <v>14</v>
      </c>
      <c r="I28" s="416">
        <f t="shared" si="4"/>
        <v>896</v>
      </c>
      <c r="J28" s="415">
        <v>14</v>
      </c>
      <c r="K28" s="416">
        <f t="shared" si="5"/>
        <v>896</v>
      </c>
    </row>
    <row r="29" spans="1:11" ht="14.25">
      <c r="A29" s="829"/>
      <c r="B29" s="431" t="s">
        <v>192</v>
      </c>
      <c r="C29" s="91">
        <v>7130620614</v>
      </c>
      <c r="D29" s="53" t="s">
        <v>32</v>
      </c>
      <c r="E29" s="404">
        <f>VLOOKUP(C29,'SOR RATE'!A:D,4,0)</f>
        <v>63</v>
      </c>
      <c r="F29" s="415">
        <v>14</v>
      </c>
      <c r="G29" s="416">
        <f t="shared" si="3"/>
        <v>882</v>
      </c>
      <c r="H29" s="415">
        <v>14</v>
      </c>
      <c r="I29" s="416">
        <f t="shared" si="4"/>
        <v>882</v>
      </c>
      <c r="J29" s="415">
        <v>14</v>
      </c>
      <c r="K29" s="416">
        <f t="shared" si="5"/>
        <v>882</v>
      </c>
    </row>
    <row r="30" spans="1:12" ht="18" customHeight="1">
      <c r="A30" s="402">
        <v>10</v>
      </c>
      <c r="B30" s="327" t="s">
        <v>1334</v>
      </c>
      <c r="C30" s="146">
        <v>7130870013</v>
      </c>
      <c r="D30" s="53" t="s">
        <v>26</v>
      </c>
      <c r="E30" s="404">
        <f>VLOOKUP(C30,'SOR RATE'!A:D,4,0)</f>
        <v>100</v>
      </c>
      <c r="F30" s="415">
        <v>20</v>
      </c>
      <c r="G30" s="416">
        <f t="shared" si="3"/>
        <v>2000</v>
      </c>
      <c r="H30" s="415">
        <v>20</v>
      </c>
      <c r="I30" s="416">
        <f t="shared" si="4"/>
        <v>2000</v>
      </c>
      <c r="J30" s="415">
        <v>20</v>
      </c>
      <c r="K30" s="416">
        <f t="shared" si="5"/>
        <v>2000</v>
      </c>
      <c r="L30" s="756"/>
    </row>
    <row r="31" spans="1:12" ht="17.25" customHeight="1">
      <c r="A31" s="402">
        <v>11</v>
      </c>
      <c r="B31" s="432" t="s">
        <v>321</v>
      </c>
      <c r="C31" s="433">
        <v>7131950012</v>
      </c>
      <c r="D31" s="53" t="s">
        <v>26</v>
      </c>
      <c r="E31" s="404">
        <f>VLOOKUP(C31,'SOR RATE'!A:D,4,0)</f>
        <v>1355</v>
      </c>
      <c r="F31" s="415">
        <v>15</v>
      </c>
      <c r="G31" s="416">
        <f t="shared" si="3"/>
        <v>20325</v>
      </c>
      <c r="H31" s="415">
        <v>15</v>
      </c>
      <c r="I31" s="416">
        <f t="shared" si="4"/>
        <v>20325</v>
      </c>
      <c r="J31" s="415">
        <v>15</v>
      </c>
      <c r="K31" s="416">
        <f t="shared" si="5"/>
        <v>20325</v>
      </c>
      <c r="L31" s="756"/>
    </row>
    <row r="32" spans="1:12" ht="28.5">
      <c r="A32" s="402">
        <v>12</v>
      </c>
      <c r="B32" s="327" t="s">
        <v>1019</v>
      </c>
      <c r="C32" s="92"/>
      <c r="D32" s="53" t="s">
        <v>26</v>
      </c>
      <c r="E32" s="417">
        <v>57</v>
      </c>
      <c r="F32" s="415">
        <v>15</v>
      </c>
      <c r="G32" s="416">
        <f t="shared" si="3"/>
        <v>855</v>
      </c>
      <c r="H32" s="415">
        <v>15</v>
      </c>
      <c r="I32" s="416">
        <f t="shared" si="4"/>
        <v>855</v>
      </c>
      <c r="J32" s="415">
        <v>15</v>
      </c>
      <c r="K32" s="416">
        <f t="shared" si="5"/>
        <v>855</v>
      </c>
      <c r="L32" s="751"/>
    </row>
    <row r="33" spans="1:12" ht="14.25">
      <c r="A33" s="402">
        <v>13</v>
      </c>
      <c r="B33" s="327" t="s">
        <v>29</v>
      </c>
      <c r="C33" s="91">
        <v>7130211158</v>
      </c>
      <c r="D33" s="53" t="s">
        <v>30</v>
      </c>
      <c r="E33" s="404">
        <f>VLOOKUP(C33,'SOR RATE'!A:D,4,0)</f>
        <v>130</v>
      </c>
      <c r="F33" s="53">
        <v>5</v>
      </c>
      <c r="G33" s="416">
        <f t="shared" si="3"/>
        <v>650</v>
      </c>
      <c r="H33" s="53">
        <v>20</v>
      </c>
      <c r="I33" s="416">
        <f t="shared" si="4"/>
        <v>2600</v>
      </c>
      <c r="J33" s="53">
        <v>20</v>
      </c>
      <c r="K33" s="416">
        <f t="shared" si="5"/>
        <v>2600</v>
      </c>
      <c r="L33" s="392"/>
    </row>
    <row r="34" spans="1:12" ht="14.25">
      <c r="A34" s="402">
        <v>14</v>
      </c>
      <c r="B34" s="327" t="s">
        <v>31</v>
      </c>
      <c r="C34" s="91">
        <v>7130210809</v>
      </c>
      <c r="D34" s="53" t="s">
        <v>30</v>
      </c>
      <c r="E34" s="404">
        <f>VLOOKUP(C34,'SOR RATE'!A:D,4,0)</f>
        <v>290</v>
      </c>
      <c r="F34" s="53">
        <v>5</v>
      </c>
      <c r="G34" s="416">
        <f t="shared" si="3"/>
        <v>1450</v>
      </c>
      <c r="H34" s="53">
        <v>20</v>
      </c>
      <c r="I34" s="416">
        <f t="shared" si="4"/>
        <v>5800</v>
      </c>
      <c r="J34" s="53">
        <v>20</v>
      </c>
      <c r="K34" s="416">
        <f t="shared" si="5"/>
        <v>5800</v>
      </c>
      <c r="L34" s="392"/>
    </row>
    <row r="35" spans="1:12" ht="14.25">
      <c r="A35" s="402">
        <v>15</v>
      </c>
      <c r="B35" s="327" t="s">
        <v>796</v>
      </c>
      <c r="C35" s="91">
        <v>7130810077</v>
      </c>
      <c r="D35" s="53" t="s">
        <v>26</v>
      </c>
      <c r="E35" s="404">
        <f>VLOOKUP(C35,'SOR RATE'!A:D,4,0)</f>
        <v>394</v>
      </c>
      <c r="F35" s="53">
        <v>44</v>
      </c>
      <c r="G35" s="416">
        <f t="shared" si="3"/>
        <v>17336</v>
      </c>
      <c r="H35" s="53">
        <v>44</v>
      </c>
      <c r="I35" s="416">
        <f t="shared" si="4"/>
        <v>17336</v>
      </c>
      <c r="J35" s="53">
        <v>44</v>
      </c>
      <c r="K35" s="416">
        <f t="shared" si="5"/>
        <v>17336</v>
      </c>
      <c r="L35" s="392"/>
    </row>
    <row r="36" spans="1:12" ht="14.25">
      <c r="A36" s="402">
        <v>16</v>
      </c>
      <c r="B36" s="327" t="s">
        <v>794</v>
      </c>
      <c r="C36" s="91">
        <v>7130893004</v>
      </c>
      <c r="D36" s="53" t="s">
        <v>26</v>
      </c>
      <c r="E36" s="404">
        <f>VLOOKUP(C36,'SOR RATE'!A:D,4,0)</f>
        <v>161</v>
      </c>
      <c r="F36" s="53">
        <v>44</v>
      </c>
      <c r="G36" s="416">
        <f t="shared" si="3"/>
        <v>7084</v>
      </c>
      <c r="H36" s="53">
        <v>44</v>
      </c>
      <c r="I36" s="416">
        <f t="shared" si="4"/>
        <v>7084</v>
      </c>
      <c r="J36" s="53">
        <v>44</v>
      </c>
      <c r="K36" s="416">
        <f t="shared" si="5"/>
        <v>7084</v>
      </c>
      <c r="L36" s="392"/>
    </row>
    <row r="37" spans="1:12" ht="14.25">
      <c r="A37" s="402">
        <v>17</v>
      </c>
      <c r="B37" s="327" t="s">
        <v>1020</v>
      </c>
      <c r="C37" s="91">
        <v>7130810102</v>
      </c>
      <c r="D37" s="53" t="s">
        <v>26</v>
      </c>
      <c r="E37" s="404">
        <f>VLOOKUP(C37,'SOR RATE'!A:D,4,0)</f>
        <v>349</v>
      </c>
      <c r="F37" s="53">
        <v>30</v>
      </c>
      <c r="G37" s="416">
        <f t="shared" si="3"/>
        <v>10470</v>
      </c>
      <c r="H37" s="53">
        <v>30</v>
      </c>
      <c r="I37" s="416">
        <f t="shared" si="4"/>
        <v>10470</v>
      </c>
      <c r="J37" s="53">
        <v>30</v>
      </c>
      <c r="K37" s="416">
        <f t="shared" si="5"/>
        <v>10470</v>
      </c>
      <c r="L37" s="392"/>
    </row>
    <row r="38" spans="1:12" ht="31.5" customHeight="1">
      <c r="A38" s="402">
        <v>18</v>
      </c>
      <c r="B38" s="327" t="s">
        <v>1021</v>
      </c>
      <c r="C38" s="328">
        <v>7130311008</v>
      </c>
      <c r="D38" s="53" t="s">
        <v>307</v>
      </c>
      <c r="E38" s="404">
        <f>VLOOKUP(C38,'SOR RATE'!A:D,4,0)/1000</f>
        <v>15.99</v>
      </c>
      <c r="F38" s="53">
        <v>90</v>
      </c>
      <c r="G38" s="416">
        <f t="shared" si="3"/>
        <v>1439.1</v>
      </c>
      <c r="H38" s="53">
        <v>90</v>
      </c>
      <c r="I38" s="416">
        <f t="shared" si="4"/>
        <v>1439.1</v>
      </c>
      <c r="J38" s="53">
        <v>90</v>
      </c>
      <c r="K38" s="416">
        <f t="shared" si="5"/>
        <v>1439.1</v>
      </c>
      <c r="L38" s="392"/>
    </row>
    <row r="39" spans="1:12" ht="17.25" customHeight="1">
      <c r="A39" s="402">
        <v>19</v>
      </c>
      <c r="B39" s="327" t="s">
        <v>1022</v>
      </c>
      <c r="C39" s="328">
        <v>7130390007</v>
      </c>
      <c r="D39" s="53" t="s">
        <v>26</v>
      </c>
      <c r="E39" s="404">
        <f>VLOOKUP(C39,'SOR RATE'!A:D,4,0)</f>
        <v>172</v>
      </c>
      <c r="F39" s="53">
        <v>8</v>
      </c>
      <c r="G39" s="416">
        <f t="shared" si="3"/>
        <v>1376</v>
      </c>
      <c r="H39" s="53">
        <v>8</v>
      </c>
      <c r="I39" s="416">
        <f t="shared" si="4"/>
        <v>1376</v>
      </c>
      <c r="J39" s="53">
        <v>8</v>
      </c>
      <c r="K39" s="416">
        <f t="shared" si="5"/>
        <v>1376</v>
      </c>
      <c r="L39" s="392"/>
    </row>
    <row r="40" spans="1:12" ht="14.25">
      <c r="A40" s="402">
        <v>20</v>
      </c>
      <c r="B40" s="327" t="s">
        <v>1023</v>
      </c>
      <c r="C40" s="328">
        <v>7130390019</v>
      </c>
      <c r="D40" s="53" t="s">
        <v>26</v>
      </c>
      <c r="E40" s="404">
        <f>VLOOKUP(C40,'SOR RATE'!A:D,4,0)</f>
        <v>28</v>
      </c>
      <c r="F40" s="53">
        <v>20</v>
      </c>
      <c r="G40" s="416">
        <f t="shared" si="3"/>
        <v>560</v>
      </c>
      <c r="H40" s="53">
        <v>20</v>
      </c>
      <c r="I40" s="416">
        <f t="shared" si="4"/>
        <v>560</v>
      </c>
      <c r="J40" s="53">
        <v>20</v>
      </c>
      <c r="K40" s="416">
        <f t="shared" si="5"/>
        <v>560</v>
      </c>
      <c r="L40" s="392"/>
    </row>
    <row r="41" spans="1:12" ht="30" customHeight="1">
      <c r="A41" s="402">
        <v>21</v>
      </c>
      <c r="B41" s="327" t="s">
        <v>126</v>
      </c>
      <c r="C41" s="328">
        <v>7130320053</v>
      </c>
      <c r="D41" s="53" t="s">
        <v>26</v>
      </c>
      <c r="E41" s="404">
        <f>VLOOKUP(C41,'SOR RATE'!A:D,4,0)</f>
        <v>5</v>
      </c>
      <c r="F41" s="53">
        <v>530</v>
      </c>
      <c r="G41" s="416">
        <f t="shared" si="3"/>
        <v>2650</v>
      </c>
      <c r="H41" s="53">
        <v>530</v>
      </c>
      <c r="I41" s="416">
        <f t="shared" si="4"/>
        <v>2650</v>
      </c>
      <c r="J41" s="53">
        <v>530</v>
      </c>
      <c r="K41" s="416">
        <f t="shared" si="5"/>
        <v>2650</v>
      </c>
      <c r="L41" s="392"/>
    </row>
    <row r="42" spans="1:14" ht="16.5" customHeight="1">
      <c r="A42" s="402">
        <v>22</v>
      </c>
      <c r="B42" s="327" t="s">
        <v>822</v>
      </c>
      <c r="C42" s="328">
        <v>7130610206</v>
      </c>
      <c r="D42" s="53" t="s">
        <v>32</v>
      </c>
      <c r="E42" s="404">
        <f>VLOOKUP(C42,'SOR RATE'!A:D,4,0)/1000</f>
        <v>66.528</v>
      </c>
      <c r="F42" s="53">
        <v>70</v>
      </c>
      <c r="G42" s="416">
        <f t="shared" si="3"/>
        <v>4656.96</v>
      </c>
      <c r="H42" s="53">
        <v>70</v>
      </c>
      <c r="I42" s="416">
        <f t="shared" si="4"/>
        <v>4656.96</v>
      </c>
      <c r="J42" s="53">
        <v>70</v>
      </c>
      <c r="K42" s="416">
        <f t="shared" si="5"/>
        <v>4656.96</v>
      </c>
      <c r="M42" s="727"/>
      <c r="N42" s="727"/>
    </row>
    <row r="43" spans="1:12" ht="15">
      <c r="A43" s="827">
        <v>23</v>
      </c>
      <c r="B43" s="186" t="s">
        <v>647</v>
      </c>
      <c r="C43" s="436"/>
      <c r="D43" s="53"/>
      <c r="E43" s="417"/>
      <c r="F43" s="53"/>
      <c r="G43" s="416"/>
      <c r="H43" s="53"/>
      <c r="I43" s="416"/>
      <c r="J43" s="53"/>
      <c r="K43" s="416"/>
      <c r="L43" s="392"/>
    </row>
    <row r="44" spans="1:12" ht="15.75" customHeight="1">
      <c r="A44" s="828"/>
      <c r="B44" s="183" t="s">
        <v>823</v>
      </c>
      <c r="C44" s="163">
        <v>7130810216</v>
      </c>
      <c r="D44" s="53" t="s">
        <v>26</v>
      </c>
      <c r="E44" s="404">
        <f>VLOOKUP(C44,'SOR RATE'!A:D,4,0)</f>
        <v>282</v>
      </c>
      <c r="F44" s="53"/>
      <c r="G44" s="416"/>
      <c r="H44" s="53">
        <v>40</v>
      </c>
      <c r="I44" s="416">
        <f>E44*H44</f>
        <v>11280</v>
      </c>
      <c r="J44" s="53"/>
      <c r="K44" s="416"/>
      <c r="L44" s="392"/>
    </row>
    <row r="45" spans="1:12" ht="15" customHeight="1">
      <c r="A45" s="829"/>
      <c r="B45" s="233" t="s">
        <v>758</v>
      </c>
      <c r="C45" s="91">
        <v>7130810692</v>
      </c>
      <c r="D45" s="53" t="s">
        <v>26</v>
      </c>
      <c r="E45" s="404">
        <f>VLOOKUP(C45,'SOR RATE'!A:D,4,0)</f>
        <v>294</v>
      </c>
      <c r="F45" s="53"/>
      <c r="G45" s="416"/>
      <c r="H45" s="53"/>
      <c r="I45" s="416"/>
      <c r="J45" s="53">
        <v>40</v>
      </c>
      <c r="K45" s="416">
        <f>E45*J45</f>
        <v>11760</v>
      </c>
      <c r="L45" s="392"/>
    </row>
    <row r="46" spans="1:13" ht="15">
      <c r="A46" s="398">
        <v>24</v>
      </c>
      <c r="B46" s="439" t="s">
        <v>937</v>
      </c>
      <c r="C46" s="468"/>
      <c r="D46" s="53"/>
      <c r="E46" s="53"/>
      <c r="F46" s="441"/>
      <c r="G46" s="441">
        <f>SUM(G10:G42)</f>
        <v>408146.18000000005</v>
      </c>
      <c r="H46" s="441"/>
      <c r="I46" s="441">
        <f>SUM(I10:I45)</f>
        <v>561353.8432299999</v>
      </c>
      <c r="J46" s="441"/>
      <c r="K46" s="441">
        <f>SUM(K10:K45)</f>
        <v>703596.6419999998</v>
      </c>
      <c r="L46" s="442"/>
      <c r="M46" s="392"/>
    </row>
    <row r="47" spans="1:13" ht="15.75" customHeight="1">
      <c r="A47" s="53">
        <v>25</v>
      </c>
      <c r="B47" s="443" t="s">
        <v>936</v>
      </c>
      <c r="C47" s="445"/>
      <c r="D47" s="469"/>
      <c r="E47" s="328">
        <v>0.09</v>
      </c>
      <c r="F47" s="328"/>
      <c r="G47" s="417">
        <f>G46*E47</f>
        <v>36733.156200000005</v>
      </c>
      <c r="H47" s="328"/>
      <c r="I47" s="417">
        <f>I46*E47</f>
        <v>50521.84589069999</v>
      </c>
      <c r="J47" s="328"/>
      <c r="K47" s="417">
        <f>K46*E47</f>
        <v>63323.69777999997</v>
      </c>
      <c r="L47" s="442"/>
      <c r="M47" s="446"/>
    </row>
    <row r="48" spans="1:11" ht="18.75" customHeight="1">
      <c r="A48" s="55">
        <v>26</v>
      </c>
      <c r="B48" s="85" t="s">
        <v>824</v>
      </c>
      <c r="C48" s="447"/>
      <c r="D48" s="53" t="s">
        <v>1013</v>
      </c>
      <c r="E48" s="448">
        <f>145.2*1.086275*1.1112*1.0685</f>
        <v>187.27213435563596</v>
      </c>
      <c r="F48" s="429">
        <v>20</v>
      </c>
      <c r="G48" s="417">
        <f>E48*F48</f>
        <v>3745.442687112719</v>
      </c>
      <c r="H48" s="53"/>
      <c r="I48" s="417"/>
      <c r="J48" s="417"/>
      <c r="K48" s="417"/>
    </row>
    <row r="49" spans="1:11" ht="14.25">
      <c r="A49" s="449" t="s">
        <v>825</v>
      </c>
      <c r="B49" s="443" t="s">
        <v>310</v>
      </c>
      <c r="C49" s="427"/>
      <c r="D49" s="450" t="s">
        <v>28</v>
      </c>
      <c r="E49" s="417">
        <f>1664*1.27*1.0891*1.086275*1.1112*1.0685</f>
        <v>2968.460981603261</v>
      </c>
      <c r="F49" s="53">
        <v>3.4</v>
      </c>
      <c r="G49" s="417">
        <f>F49*E49</f>
        <v>10092.767337451089</v>
      </c>
      <c r="H49" s="53">
        <v>8.4</v>
      </c>
      <c r="I49" s="417">
        <f>H49*E49</f>
        <v>24935.072245467396</v>
      </c>
      <c r="J49" s="53">
        <v>12.4</v>
      </c>
      <c r="K49" s="417">
        <f>J49*E49</f>
        <v>36808.91617188044</v>
      </c>
    </row>
    <row r="50" spans="1:12" ht="15.75">
      <c r="A50" s="402">
        <v>28</v>
      </c>
      <c r="B50" s="443" t="s">
        <v>826</v>
      </c>
      <c r="C50" s="427"/>
      <c r="D50" s="453"/>
      <c r="E50" s="54"/>
      <c r="F50" s="454"/>
      <c r="G50" s="417">
        <v>40323.47</v>
      </c>
      <c r="H50" s="53"/>
      <c r="I50" s="417">
        <v>46430.65</v>
      </c>
      <c r="J50" s="454"/>
      <c r="K50" s="417">
        <v>48696.74</v>
      </c>
      <c r="L50" s="18"/>
    </row>
    <row r="51" spans="1:11" ht="14.25">
      <c r="A51" s="402">
        <v>29</v>
      </c>
      <c r="B51" s="443" t="s">
        <v>940</v>
      </c>
      <c r="C51" s="427"/>
      <c r="D51" s="453"/>
      <c r="E51" s="54"/>
      <c r="F51" s="454"/>
      <c r="G51" s="417">
        <f>10334.37*1.1402*0.9368</f>
        <v>11038.547357803202</v>
      </c>
      <c r="H51" s="53"/>
      <c r="I51" s="417">
        <f>11290.22*1.1402*0.9368</f>
        <v>12059.5283650592</v>
      </c>
      <c r="J51" s="454"/>
      <c r="K51" s="417">
        <f>11290.22*1.1402*0.9368</f>
        <v>12059.5283650592</v>
      </c>
    </row>
    <row r="52" spans="1:12" ht="15">
      <c r="A52" s="398">
        <v>30</v>
      </c>
      <c r="B52" s="439" t="s">
        <v>938</v>
      </c>
      <c r="C52" s="427"/>
      <c r="D52" s="453"/>
      <c r="E52" s="54"/>
      <c r="F52" s="251"/>
      <c r="G52" s="441">
        <f>G46+G47+G48+G49+G50+G51</f>
        <v>510079.56358236715</v>
      </c>
      <c r="H52" s="398"/>
      <c r="I52" s="441">
        <f>I46+I47+I48+I49+I50+I51</f>
        <v>695300.9397312265</v>
      </c>
      <c r="J52" s="251"/>
      <c r="K52" s="441">
        <f>K46+K47+K48+K49+K50+K51</f>
        <v>864485.5243169393</v>
      </c>
      <c r="L52" s="455"/>
    </row>
    <row r="53" spans="1:12" ht="31.5" customHeight="1">
      <c r="A53" s="402">
        <v>31</v>
      </c>
      <c r="B53" s="443" t="s">
        <v>939</v>
      </c>
      <c r="C53" s="427"/>
      <c r="D53" s="453"/>
      <c r="E53" s="54">
        <v>0.11</v>
      </c>
      <c r="F53" s="454"/>
      <c r="G53" s="417">
        <f>G46*E53</f>
        <v>44896.07980000001</v>
      </c>
      <c r="H53" s="53"/>
      <c r="I53" s="417">
        <f>I46*E53</f>
        <v>61748.92275529999</v>
      </c>
      <c r="J53" s="454"/>
      <c r="K53" s="417">
        <f>K46*E53</f>
        <v>77395.63061999997</v>
      </c>
      <c r="L53" s="455"/>
    </row>
    <row r="54" spans="1:12" ht="14.25">
      <c r="A54" s="402">
        <v>32</v>
      </c>
      <c r="B54" s="327" t="s">
        <v>1338</v>
      </c>
      <c r="C54" s="427"/>
      <c r="D54" s="417"/>
      <c r="E54" s="53"/>
      <c r="F54" s="417"/>
      <c r="G54" s="417">
        <f>G52+G53</f>
        <v>554975.6433823672</v>
      </c>
      <c r="H54" s="417"/>
      <c r="I54" s="417">
        <f>I52+I53</f>
        <v>757049.8624865265</v>
      </c>
      <c r="J54" s="417"/>
      <c r="K54" s="417">
        <f>K52+K53</f>
        <v>941881.1549369392</v>
      </c>
      <c r="L54" s="171"/>
    </row>
    <row r="55" spans="1:11" ht="30">
      <c r="A55" s="456">
        <v>33</v>
      </c>
      <c r="B55" s="457" t="s">
        <v>1339</v>
      </c>
      <c r="C55" s="458"/>
      <c r="D55" s="441"/>
      <c r="E55" s="398"/>
      <c r="F55" s="53"/>
      <c r="G55" s="441">
        <f>ROUND(G54,0)</f>
        <v>554976</v>
      </c>
      <c r="H55" s="53"/>
      <c r="I55" s="441">
        <f>ROUND(I54,0)</f>
        <v>757050</v>
      </c>
      <c r="J55" s="53"/>
      <c r="K55" s="441">
        <f>ROUND(K54,0)</f>
        <v>941881</v>
      </c>
    </row>
    <row r="56" spans="1:11" ht="14.25">
      <c r="A56" s="459"/>
      <c r="B56" s="460"/>
      <c r="C56" s="461"/>
      <c r="D56" s="460"/>
      <c r="E56" s="460"/>
      <c r="F56" s="460"/>
      <c r="G56" s="460"/>
      <c r="H56" s="460"/>
      <c r="I56" s="462"/>
      <c r="J56" s="392"/>
      <c r="K56" s="392"/>
    </row>
    <row r="57" spans="1:11" ht="15" customHeight="1">
      <c r="A57" s="463"/>
      <c r="B57" s="826" t="s">
        <v>827</v>
      </c>
      <c r="C57" s="826"/>
      <c r="D57" s="460"/>
      <c r="E57" s="460"/>
      <c r="F57" s="460"/>
      <c r="G57" s="460"/>
      <c r="H57" s="460"/>
      <c r="I57" s="460"/>
      <c r="J57" s="392"/>
      <c r="K57" s="392"/>
    </row>
    <row r="58" spans="1:11" ht="14.25">
      <c r="A58" s="459"/>
      <c r="B58" s="460"/>
      <c r="C58" s="460"/>
      <c r="D58" s="460"/>
      <c r="E58" s="460"/>
      <c r="F58" s="460"/>
      <c r="G58" s="460"/>
      <c r="H58" s="460"/>
      <c r="I58" s="460"/>
      <c r="J58" s="392"/>
      <c r="K58" s="392"/>
    </row>
    <row r="59" spans="1:11" ht="14.25">
      <c r="A59" s="459"/>
      <c r="B59" s="460"/>
      <c r="C59" s="460"/>
      <c r="D59" s="460"/>
      <c r="E59" s="460"/>
      <c r="F59" s="460"/>
      <c r="G59" s="460"/>
      <c r="H59" s="460"/>
      <c r="I59" s="460"/>
      <c r="J59" s="392"/>
      <c r="K59" s="392"/>
    </row>
    <row r="60" spans="1:11" ht="14.25">
      <c r="A60" s="459"/>
      <c r="B60" s="460"/>
      <c r="C60" s="460"/>
      <c r="D60" s="460"/>
      <c r="E60" s="460"/>
      <c r="F60" s="460"/>
      <c r="G60" s="460"/>
      <c r="H60" s="460"/>
      <c r="I60" s="460"/>
      <c r="J60" s="392"/>
      <c r="K60" s="392"/>
    </row>
    <row r="61" spans="1:11" ht="14.25">
      <c r="A61" s="459"/>
      <c r="B61" s="460"/>
      <c r="C61" s="460"/>
      <c r="D61" s="460"/>
      <c r="E61" s="460"/>
      <c r="F61" s="460"/>
      <c r="G61" s="460"/>
      <c r="H61" s="460"/>
      <c r="I61" s="460"/>
      <c r="J61" s="392"/>
      <c r="K61" s="392"/>
    </row>
    <row r="62" spans="1:11" ht="14.25">
      <c r="A62" s="459"/>
      <c r="B62" s="460"/>
      <c r="C62" s="460"/>
      <c r="D62" s="460"/>
      <c r="E62" s="460"/>
      <c r="F62" s="460"/>
      <c r="G62" s="460"/>
      <c r="H62" s="460"/>
      <c r="I62" s="460"/>
      <c r="J62" s="392"/>
      <c r="K62" s="392"/>
    </row>
    <row r="63" spans="1:11" ht="14.25">
      <c r="A63" s="459"/>
      <c r="B63" s="460"/>
      <c r="C63" s="460"/>
      <c r="D63" s="460"/>
      <c r="E63" s="460"/>
      <c r="F63" s="460"/>
      <c r="G63" s="460"/>
      <c r="H63" s="460"/>
      <c r="I63" s="460"/>
      <c r="J63" s="392"/>
      <c r="K63" s="392"/>
    </row>
    <row r="64" spans="1:11" ht="14.25">
      <c r="A64" s="459"/>
      <c r="B64" s="460"/>
      <c r="C64" s="460"/>
      <c r="D64" s="460"/>
      <c r="E64" s="460"/>
      <c r="F64" s="460"/>
      <c r="G64" s="460"/>
      <c r="H64" s="460"/>
      <c r="I64" s="460"/>
      <c r="J64" s="392"/>
      <c r="K64" s="392"/>
    </row>
    <row r="65" spans="1:11" ht="14.25">
      <c r="A65" s="459"/>
      <c r="B65" s="460"/>
      <c r="C65" s="460"/>
      <c r="D65" s="460"/>
      <c r="E65" s="460"/>
      <c r="F65" s="460"/>
      <c r="G65" s="460"/>
      <c r="H65" s="460"/>
      <c r="I65" s="460"/>
      <c r="J65" s="392"/>
      <c r="K65" s="392"/>
    </row>
    <row r="66" spans="1:11" ht="14.25">
      <c r="A66" s="459"/>
      <c r="B66" s="460"/>
      <c r="C66" s="460"/>
      <c r="D66" s="460"/>
      <c r="E66" s="460"/>
      <c r="F66" s="460"/>
      <c r="G66" s="460"/>
      <c r="H66" s="460"/>
      <c r="I66" s="460"/>
      <c r="J66" s="392"/>
      <c r="K66" s="392"/>
    </row>
    <row r="67" spans="1:11" ht="14.25">
      <c r="A67" s="459"/>
      <c r="B67" s="460"/>
      <c r="C67" s="460"/>
      <c r="D67" s="460"/>
      <c r="E67" s="460"/>
      <c r="F67" s="460"/>
      <c r="G67" s="460"/>
      <c r="H67" s="460"/>
      <c r="I67" s="460"/>
      <c r="J67" s="392"/>
      <c r="K67" s="392"/>
    </row>
    <row r="68" spans="1:11" ht="14.25">
      <c r="A68" s="459"/>
      <c r="B68" s="460"/>
      <c r="C68" s="460"/>
      <c r="D68" s="460"/>
      <c r="E68" s="460"/>
      <c r="F68" s="460"/>
      <c r="G68" s="460"/>
      <c r="H68" s="460"/>
      <c r="I68" s="460"/>
      <c r="J68" s="392"/>
      <c r="K68" s="392"/>
    </row>
    <row r="69" spans="1:11" ht="14.25">
      <c r="A69" s="459"/>
      <c r="B69" s="460"/>
      <c r="C69" s="460"/>
      <c r="D69" s="460"/>
      <c r="E69" s="460"/>
      <c r="F69" s="460"/>
      <c r="G69" s="460"/>
      <c r="H69" s="460"/>
      <c r="I69" s="460"/>
      <c r="J69" s="392"/>
      <c r="K69" s="392"/>
    </row>
    <row r="70" spans="1:11" ht="14.25">
      <c r="A70" s="459"/>
      <c r="B70" s="460"/>
      <c r="C70" s="460"/>
      <c r="D70" s="460"/>
      <c r="E70" s="460"/>
      <c r="F70" s="460"/>
      <c r="G70" s="460"/>
      <c r="H70" s="460"/>
      <c r="I70" s="460"/>
      <c r="J70" s="392"/>
      <c r="K70" s="392"/>
    </row>
    <row r="71" spans="1:11" ht="14.25">
      <c r="A71" s="459"/>
      <c r="B71" s="460"/>
      <c r="C71" s="460"/>
      <c r="D71" s="460"/>
      <c r="E71" s="460"/>
      <c r="F71" s="460"/>
      <c r="G71" s="460"/>
      <c r="H71" s="460"/>
      <c r="I71" s="460"/>
      <c r="J71" s="392"/>
      <c r="K71" s="392"/>
    </row>
    <row r="72" spans="1:11" ht="14.25">
      <c r="A72" s="459"/>
      <c r="B72" s="460"/>
      <c r="C72" s="460"/>
      <c r="D72" s="460"/>
      <c r="E72" s="460"/>
      <c r="F72" s="460"/>
      <c r="G72" s="460"/>
      <c r="H72" s="460"/>
      <c r="I72" s="460"/>
      <c r="J72" s="392"/>
      <c r="K72" s="392"/>
    </row>
    <row r="73" spans="1:11" ht="14.25">
      <c r="A73" s="459"/>
      <c r="B73" s="460"/>
      <c r="C73" s="460"/>
      <c r="D73" s="460"/>
      <c r="E73" s="460"/>
      <c r="F73" s="460"/>
      <c r="G73" s="460"/>
      <c r="H73" s="460"/>
      <c r="I73" s="460"/>
      <c r="J73" s="392"/>
      <c r="K73" s="392"/>
    </row>
    <row r="77" spans="4:7" ht="14.25">
      <c r="D77" s="436"/>
      <c r="E77" s="436"/>
      <c r="F77" s="436"/>
      <c r="G77" s="436"/>
    </row>
    <row r="78" spans="4:7" ht="14.25">
      <c r="D78" s="436"/>
      <c r="E78" s="436"/>
      <c r="F78" s="436"/>
      <c r="G78" s="436"/>
    </row>
    <row r="79" spans="4:7" ht="14.25">
      <c r="D79" s="436"/>
      <c r="E79" s="436"/>
      <c r="F79" s="436"/>
      <c r="G79" s="436"/>
    </row>
    <row r="80" spans="4:7" ht="14.25">
      <c r="D80" s="436"/>
      <c r="E80" s="436"/>
      <c r="F80" s="436"/>
      <c r="G80" s="436"/>
    </row>
    <row r="81" spans="4:7" ht="14.25">
      <c r="D81" s="436"/>
      <c r="E81" s="436"/>
      <c r="F81" s="436"/>
      <c r="G81" s="436"/>
    </row>
    <row r="82" spans="4:7" ht="14.25">
      <c r="D82" s="436"/>
      <c r="E82" s="436"/>
      <c r="F82" s="436"/>
      <c r="G82" s="436"/>
    </row>
  </sheetData>
  <sheetProtection/>
  <mergeCells count="20">
    <mergeCell ref="A7:A8"/>
    <mergeCell ref="B7:B8"/>
    <mergeCell ref="C7:C8"/>
    <mergeCell ref="D7:D8"/>
    <mergeCell ref="E7:E8"/>
    <mergeCell ref="B57:C57"/>
    <mergeCell ref="A21:A23"/>
    <mergeCell ref="A24:A25"/>
    <mergeCell ref="A26:A29"/>
    <mergeCell ref="A43:A45"/>
    <mergeCell ref="M14:P14"/>
    <mergeCell ref="M15:P15"/>
    <mergeCell ref="M16:P16"/>
    <mergeCell ref="M13:P13"/>
    <mergeCell ref="C1:G1"/>
    <mergeCell ref="B3:J3"/>
    <mergeCell ref="J5:K5"/>
    <mergeCell ref="J7:K7"/>
    <mergeCell ref="F7:G7"/>
    <mergeCell ref="H7:I7"/>
  </mergeCells>
  <conditionalFormatting sqref="B46:B47">
    <cfRule type="cellIs" priority="1" dxfId="0" operator="equal" stopIfTrue="1">
      <formula>"?"</formula>
    </cfRule>
  </conditionalFormatting>
  <printOptions/>
  <pageMargins left="0.73" right="0.15" top="0.6" bottom="0.3" header="0.5" footer="0.1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421875" style="23" customWidth="1"/>
    <col min="2" max="2" width="73.421875" style="2" customWidth="1"/>
    <col min="3" max="3" width="13.421875" style="2" customWidth="1"/>
    <col min="4" max="4" width="6.28125" style="2" customWidth="1"/>
    <col min="5" max="5" width="9.00390625" style="2" bestFit="1" customWidth="1"/>
    <col min="6" max="6" width="6.421875" style="2" bestFit="1" customWidth="1"/>
    <col min="7" max="7" width="14.140625" style="2" customWidth="1"/>
    <col min="8" max="8" width="10.57421875" style="2" customWidth="1"/>
    <col min="9" max="9" width="12.57421875" style="2" bestFit="1" customWidth="1"/>
    <col min="10" max="10" width="14.28125" style="2" customWidth="1"/>
    <col min="11" max="11" width="15.8515625" style="2" customWidth="1"/>
    <col min="12" max="12" width="15.28125" style="2" customWidth="1"/>
    <col min="13" max="13" width="14.7109375" style="2" customWidth="1"/>
    <col min="14" max="16384" width="9.140625" style="2" customWidth="1"/>
  </cols>
  <sheetData>
    <row r="1" spans="1:10" ht="18.75" customHeight="1">
      <c r="A1" s="389"/>
      <c r="B1" s="830" t="s">
        <v>1399</v>
      </c>
      <c r="C1" s="816"/>
      <c r="D1" s="816"/>
      <c r="E1" s="816"/>
      <c r="F1" s="470"/>
      <c r="G1" s="42"/>
      <c r="H1" s="390"/>
      <c r="I1" s="390"/>
      <c r="J1" s="390"/>
    </row>
    <row r="2" spans="1:10" ht="10.5" customHeight="1">
      <c r="A2" s="389"/>
      <c r="B2" s="390"/>
      <c r="C2" s="390"/>
      <c r="D2" s="393"/>
      <c r="E2" s="393"/>
      <c r="F2" s="393"/>
      <c r="G2" s="393"/>
      <c r="H2" s="390"/>
      <c r="I2" s="390"/>
      <c r="J2" s="390"/>
    </row>
    <row r="3" spans="1:10" ht="36.75" customHeight="1">
      <c r="A3" s="389"/>
      <c r="B3" s="781" t="s">
        <v>833</v>
      </c>
      <c r="C3" s="781"/>
      <c r="D3" s="781"/>
      <c r="E3" s="781"/>
      <c r="F3" s="781"/>
      <c r="G3" s="781"/>
      <c r="H3" s="25"/>
      <c r="I3" s="25"/>
      <c r="J3" s="25"/>
    </row>
    <row r="4" ht="9" customHeight="1"/>
    <row r="5" ht="15" customHeight="1">
      <c r="G5" s="722" t="s">
        <v>1003</v>
      </c>
    </row>
    <row r="6" spans="1:8" ht="76.5" customHeight="1">
      <c r="A6" s="821" t="s">
        <v>191</v>
      </c>
      <c r="B6" s="821" t="s">
        <v>23</v>
      </c>
      <c r="C6" s="821" t="s">
        <v>698</v>
      </c>
      <c r="D6" s="821" t="s">
        <v>24</v>
      </c>
      <c r="E6" s="821" t="s">
        <v>1010</v>
      </c>
      <c r="F6" s="821" t="s">
        <v>834</v>
      </c>
      <c r="G6" s="821"/>
      <c r="H6" s="471"/>
    </row>
    <row r="7" spans="1:11" ht="15">
      <c r="A7" s="821"/>
      <c r="B7" s="821"/>
      <c r="C7" s="821"/>
      <c r="D7" s="821"/>
      <c r="E7" s="821"/>
      <c r="F7" s="398" t="s">
        <v>25</v>
      </c>
      <c r="G7" s="398" t="s">
        <v>1047</v>
      </c>
      <c r="H7" s="471"/>
      <c r="I7" s="471"/>
      <c r="J7" s="471"/>
      <c r="K7" s="471"/>
    </row>
    <row r="8" spans="1:11" ht="15">
      <c r="A8" s="400">
        <v>1</v>
      </c>
      <c r="B8" s="400">
        <v>2</v>
      </c>
      <c r="C8" s="401">
        <v>3</v>
      </c>
      <c r="D8" s="400">
        <v>4</v>
      </c>
      <c r="E8" s="400">
        <v>5</v>
      </c>
      <c r="F8" s="400">
        <v>6</v>
      </c>
      <c r="G8" s="400">
        <v>7</v>
      </c>
      <c r="H8" s="38"/>
      <c r="I8" s="38"/>
      <c r="J8" s="38"/>
      <c r="K8" s="38"/>
    </row>
    <row r="9" spans="1:10" ht="18" customHeight="1">
      <c r="A9" s="402">
        <v>1</v>
      </c>
      <c r="B9" s="411" t="s">
        <v>332</v>
      </c>
      <c r="C9" s="472">
        <v>7130800012</v>
      </c>
      <c r="D9" s="412" t="s">
        <v>26</v>
      </c>
      <c r="E9" s="404">
        <f>VLOOKUP(C9,'SOR RATE'!A:D,4,0)</f>
        <v>1654</v>
      </c>
      <c r="F9" s="405">
        <v>20</v>
      </c>
      <c r="G9" s="406">
        <f aca="true" t="shared" si="0" ref="G9:G17">F9*E9</f>
        <v>33080</v>
      </c>
      <c r="H9" s="757"/>
      <c r="I9" s="67"/>
      <c r="J9" s="67"/>
    </row>
    <row r="10" spans="1:10" ht="32.25" customHeight="1">
      <c r="A10" s="402">
        <v>2</v>
      </c>
      <c r="B10" s="413" t="s">
        <v>1215</v>
      </c>
      <c r="C10" s="91">
        <v>7130797533</v>
      </c>
      <c r="D10" s="53" t="s">
        <v>26</v>
      </c>
      <c r="E10" s="404">
        <f>VLOOKUP(C10,'SOR RATE'!A:D,4,0)</f>
        <v>435</v>
      </c>
      <c r="F10" s="415">
        <v>22</v>
      </c>
      <c r="G10" s="416">
        <f t="shared" si="0"/>
        <v>9570</v>
      </c>
      <c r="H10" s="753"/>
      <c r="J10" s="434" t="s">
        <v>1161</v>
      </c>
    </row>
    <row r="11" spans="1:13" ht="30" customHeight="1">
      <c r="A11" s="402" t="s">
        <v>312</v>
      </c>
      <c r="B11" s="729" t="s">
        <v>656</v>
      </c>
      <c r="C11" s="53">
        <v>7130390003</v>
      </c>
      <c r="D11" s="53" t="s">
        <v>26</v>
      </c>
      <c r="E11" s="404">
        <f>VLOOKUP(C11,'SOR RATE'!A:D,4,0)</f>
        <v>80</v>
      </c>
      <c r="F11" s="415">
        <v>30</v>
      </c>
      <c r="G11" s="416">
        <f t="shared" si="0"/>
        <v>2400</v>
      </c>
      <c r="J11" s="814" t="s">
        <v>835</v>
      </c>
      <c r="K11" s="814"/>
      <c r="L11" s="814"/>
      <c r="M11" s="814"/>
    </row>
    <row r="12" spans="1:14" ht="29.25" customHeight="1">
      <c r="A12" s="402" t="s">
        <v>1005</v>
      </c>
      <c r="B12" s="729" t="s">
        <v>657</v>
      </c>
      <c r="C12" s="53">
        <v>7130390004</v>
      </c>
      <c r="D12" s="53" t="s">
        <v>26</v>
      </c>
      <c r="E12" s="404">
        <f>VLOOKUP(C12,'SOR RATE'!A:D,4,0)</f>
        <v>104</v>
      </c>
      <c r="F12" s="415">
        <v>20</v>
      </c>
      <c r="G12" s="416">
        <f t="shared" si="0"/>
        <v>2080</v>
      </c>
      <c r="J12" s="831" t="s">
        <v>836</v>
      </c>
      <c r="K12" s="831"/>
      <c r="L12" s="831"/>
      <c r="M12" s="831"/>
      <c r="N12" s="831"/>
    </row>
    <row r="13" spans="1:13" ht="29.25" customHeight="1">
      <c r="A13" s="402" t="s">
        <v>1006</v>
      </c>
      <c r="B13" s="729" t="s">
        <v>658</v>
      </c>
      <c r="C13" s="53">
        <v>7130390005</v>
      </c>
      <c r="D13" s="53" t="s">
        <v>26</v>
      </c>
      <c r="E13" s="404">
        <f>VLOOKUP(C13,'SOR RATE'!A:D,4,0)</f>
        <v>145</v>
      </c>
      <c r="F13" s="415">
        <v>24</v>
      </c>
      <c r="G13" s="416">
        <f t="shared" si="0"/>
        <v>3480</v>
      </c>
      <c r="J13" s="814" t="s">
        <v>837</v>
      </c>
      <c r="K13" s="814"/>
      <c r="L13" s="814"/>
      <c r="M13" s="814"/>
    </row>
    <row r="14" spans="1:7" ht="15" customHeight="1">
      <c r="A14" s="402">
        <v>4</v>
      </c>
      <c r="B14" s="432" t="s">
        <v>173</v>
      </c>
      <c r="C14" s="53">
        <v>7131950010</v>
      </c>
      <c r="D14" s="53" t="s">
        <v>897</v>
      </c>
      <c r="E14" s="404">
        <f>VLOOKUP(C14,'SOR RATE'!A:D,4,0)</f>
        <v>1147</v>
      </c>
      <c r="F14" s="415">
        <v>20</v>
      </c>
      <c r="G14" s="416">
        <f t="shared" si="0"/>
        <v>22940</v>
      </c>
    </row>
    <row r="15" spans="1:7" ht="17.25" customHeight="1">
      <c r="A15" s="402">
        <v>5</v>
      </c>
      <c r="B15" s="413" t="s">
        <v>313</v>
      </c>
      <c r="C15" s="86">
        <v>7130390006</v>
      </c>
      <c r="D15" s="53" t="s">
        <v>26</v>
      </c>
      <c r="E15" s="404">
        <f>VLOOKUP(C15,'SOR RATE'!A:D,4,0)</f>
        <v>149</v>
      </c>
      <c r="F15" s="415">
        <v>41</v>
      </c>
      <c r="G15" s="416">
        <f t="shared" si="0"/>
        <v>6109</v>
      </c>
    </row>
    <row r="16" spans="1:10" ht="31.5" customHeight="1">
      <c r="A16" s="402">
        <v>6</v>
      </c>
      <c r="B16" s="413" t="s">
        <v>1443</v>
      </c>
      <c r="C16" s="87">
        <v>7130797532</v>
      </c>
      <c r="D16" s="53" t="s">
        <v>26</v>
      </c>
      <c r="E16" s="404">
        <f>VLOOKUP(C16,'SOR RATE'!A:D,4,0)</f>
        <v>599</v>
      </c>
      <c r="F16" s="415">
        <v>22</v>
      </c>
      <c r="G16" s="416">
        <f t="shared" si="0"/>
        <v>13178</v>
      </c>
      <c r="H16" s="753"/>
      <c r="J16" s="434" t="s">
        <v>652</v>
      </c>
    </row>
    <row r="17" spans="1:10" ht="18.75" customHeight="1">
      <c r="A17" s="402">
        <v>7</v>
      </c>
      <c r="B17" s="423" t="s">
        <v>174</v>
      </c>
      <c r="C17" s="424">
        <v>7130310063</v>
      </c>
      <c r="D17" s="53" t="s">
        <v>307</v>
      </c>
      <c r="E17" s="404">
        <f>VLOOKUP(C17,'SOR RATE'!A:D,4,0)/1000</f>
        <v>50.56</v>
      </c>
      <c r="F17" s="415">
        <v>1100</v>
      </c>
      <c r="G17" s="416">
        <f t="shared" si="0"/>
        <v>55616</v>
      </c>
      <c r="H17" s="753"/>
      <c r="J17" s="171"/>
    </row>
    <row r="18" spans="1:8" ht="14.25">
      <c r="A18" s="827">
        <v>8</v>
      </c>
      <c r="B18" s="327" t="s">
        <v>318</v>
      </c>
      <c r="C18" s="424">
        <v>7130860032</v>
      </c>
      <c r="D18" s="53" t="s">
        <v>26</v>
      </c>
      <c r="E18" s="404">
        <f>VLOOKUP(C18,'SOR RATE'!A:D,4,0)</f>
        <v>387</v>
      </c>
      <c r="F18" s="415">
        <v>12</v>
      </c>
      <c r="G18" s="416">
        <f>F18*E18</f>
        <v>4644</v>
      </c>
      <c r="H18" s="753"/>
    </row>
    <row r="19" spans="1:7" ht="14.25">
      <c r="A19" s="828"/>
      <c r="B19" s="327" t="s">
        <v>319</v>
      </c>
      <c r="C19" s="424">
        <v>7130860077</v>
      </c>
      <c r="D19" s="53" t="s">
        <v>32</v>
      </c>
      <c r="E19" s="404">
        <f>VLOOKUP(C19,'SOR RATE'!A:D,4,0)/1000</f>
        <v>61.6</v>
      </c>
      <c r="F19" s="415">
        <v>72</v>
      </c>
      <c r="G19" s="416">
        <f>F19*E19</f>
        <v>4435.2</v>
      </c>
    </row>
    <row r="20" spans="1:7" ht="14.25">
      <c r="A20" s="829"/>
      <c r="B20" s="327" t="s">
        <v>782</v>
      </c>
      <c r="C20" s="427">
        <v>7130810026</v>
      </c>
      <c r="D20" s="53" t="s">
        <v>26</v>
      </c>
      <c r="E20" s="404">
        <f>VLOOKUP(C20,'SOR RATE'!A:D,4,0)</f>
        <v>142</v>
      </c>
      <c r="F20" s="415">
        <v>12</v>
      </c>
      <c r="G20" s="416">
        <f>F20*E20</f>
        <v>1704</v>
      </c>
    </row>
    <row r="21" spans="1:7" ht="32.25" customHeight="1">
      <c r="A21" s="827">
        <v>9</v>
      </c>
      <c r="B21" s="428" t="s">
        <v>320</v>
      </c>
      <c r="C21" s="424"/>
      <c r="D21" s="53" t="s">
        <v>1331</v>
      </c>
      <c r="E21" s="417"/>
      <c r="F21" s="415"/>
      <c r="G21" s="416"/>
    </row>
    <row r="22" spans="1:7" ht="17.25" customHeight="1">
      <c r="A22" s="829"/>
      <c r="B22" s="327" t="s">
        <v>777</v>
      </c>
      <c r="C22" s="424">
        <v>7130200401</v>
      </c>
      <c r="D22" s="53" t="s">
        <v>32</v>
      </c>
      <c r="E22" s="404">
        <f>VLOOKUP(C22,'SOR RATE'!A:D,4,0)/50</f>
        <v>5.36</v>
      </c>
      <c r="F22" s="415">
        <v>707</v>
      </c>
      <c r="G22" s="416">
        <f>F22*E22</f>
        <v>3789.5200000000004</v>
      </c>
    </row>
    <row r="23" spans="1:7" ht="15" customHeight="1">
      <c r="A23" s="827">
        <v>10</v>
      </c>
      <c r="B23" s="423" t="s">
        <v>33</v>
      </c>
      <c r="C23" s="328"/>
      <c r="D23" s="53" t="s">
        <v>32</v>
      </c>
      <c r="E23" s="417"/>
      <c r="F23" s="415">
        <v>30</v>
      </c>
      <c r="G23" s="415"/>
    </row>
    <row r="24" spans="1:7" ht="14.25">
      <c r="A24" s="828"/>
      <c r="B24" s="431" t="s">
        <v>1333</v>
      </c>
      <c r="C24" s="424">
        <v>7130620573</v>
      </c>
      <c r="D24" s="53" t="s">
        <v>32</v>
      </c>
      <c r="E24" s="404">
        <f>VLOOKUP(C24,'SOR RATE'!A:D,4,0)</f>
        <v>64</v>
      </c>
      <c r="F24" s="415">
        <v>2</v>
      </c>
      <c r="G24" s="416">
        <f aca="true" t="shared" si="1" ref="G24:G38">F24*E24</f>
        <v>128</v>
      </c>
    </row>
    <row r="25" spans="1:7" ht="14.25">
      <c r="A25" s="828"/>
      <c r="B25" s="431" t="s">
        <v>1017</v>
      </c>
      <c r="C25" s="424">
        <v>7130620609</v>
      </c>
      <c r="D25" s="53" t="s">
        <v>32</v>
      </c>
      <c r="E25" s="404">
        <f>VLOOKUP(C25,'SOR RATE'!A:D,4,0)</f>
        <v>64</v>
      </c>
      <c r="F25" s="415">
        <v>14</v>
      </c>
      <c r="G25" s="416">
        <f t="shared" si="1"/>
        <v>896</v>
      </c>
    </row>
    <row r="26" spans="1:7" ht="14.25">
      <c r="A26" s="829"/>
      <c r="B26" s="431" t="s">
        <v>192</v>
      </c>
      <c r="C26" s="424">
        <v>7130620614</v>
      </c>
      <c r="D26" s="53" t="s">
        <v>32</v>
      </c>
      <c r="E26" s="404">
        <f>VLOOKUP(C26,'SOR RATE'!A:D,4,0)</f>
        <v>63</v>
      </c>
      <c r="F26" s="415">
        <v>14</v>
      </c>
      <c r="G26" s="416">
        <f t="shared" si="1"/>
        <v>882</v>
      </c>
    </row>
    <row r="27" spans="1:8" ht="18.75" customHeight="1">
      <c r="A27" s="402">
        <v>11</v>
      </c>
      <c r="B27" s="327" t="s">
        <v>235</v>
      </c>
      <c r="C27" s="328">
        <v>7130870013</v>
      </c>
      <c r="D27" s="53" t="s">
        <v>26</v>
      </c>
      <c r="E27" s="404">
        <f>VLOOKUP(C27,'SOR RATE'!A:D,4,0)</f>
        <v>100</v>
      </c>
      <c r="F27" s="415">
        <v>6</v>
      </c>
      <c r="G27" s="416">
        <f t="shared" si="1"/>
        <v>600</v>
      </c>
      <c r="H27" s="753"/>
    </row>
    <row r="28" spans="1:8" ht="18" customHeight="1">
      <c r="A28" s="402">
        <v>12</v>
      </c>
      <c r="B28" s="327" t="s">
        <v>1019</v>
      </c>
      <c r="C28" s="450"/>
      <c r="D28" s="53" t="s">
        <v>1012</v>
      </c>
      <c r="E28" s="417">
        <v>57</v>
      </c>
      <c r="F28" s="415">
        <v>20</v>
      </c>
      <c r="G28" s="416">
        <f t="shared" si="1"/>
        <v>1140</v>
      </c>
      <c r="H28" s="751"/>
    </row>
    <row r="29" spans="1:7" ht="15" customHeight="1">
      <c r="A29" s="402">
        <v>13</v>
      </c>
      <c r="B29" s="327" t="s">
        <v>29</v>
      </c>
      <c r="C29" s="328">
        <v>7130211158</v>
      </c>
      <c r="D29" s="53" t="s">
        <v>30</v>
      </c>
      <c r="E29" s="404">
        <f>VLOOKUP(C29,'SOR RATE'!A:D,4,0)</f>
        <v>130</v>
      </c>
      <c r="F29" s="53">
        <v>3</v>
      </c>
      <c r="G29" s="416">
        <f t="shared" si="1"/>
        <v>390</v>
      </c>
    </row>
    <row r="30" spans="1:7" ht="15" customHeight="1">
      <c r="A30" s="402">
        <v>14</v>
      </c>
      <c r="B30" s="327" t="s">
        <v>31</v>
      </c>
      <c r="C30" s="328">
        <v>7130210809</v>
      </c>
      <c r="D30" s="53" t="s">
        <v>30</v>
      </c>
      <c r="E30" s="404">
        <f>VLOOKUP(C30,'SOR RATE'!A:D,4,0)</f>
        <v>290</v>
      </c>
      <c r="F30" s="53">
        <v>3</v>
      </c>
      <c r="G30" s="416">
        <f t="shared" si="1"/>
        <v>870</v>
      </c>
    </row>
    <row r="31" spans="1:8" ht="14.25">
      <c r="A31" s="402">
        <v>15</v>
      </c>
      <c r="B31" s="327" t="s">
        <v>796</v>
      </c>
      <c r="C31" s="91">
        <v>7130810077</v>
      </c>
      <c r="D31" s="53" t="s">
        <v>26</v>
      </c>
      <c r="E31" s="404">
        <f>VLOOKUP(C31,'SOR RATE'!A:D,4,0)</f>
        <v>394</v>
      </c>
      <c r="F31" s="53">
        <v>44</v>
      </c>
      <c r="G31" s="416">
        <f t="shared" si="1"/>
        <v>17336</v>
      </c>
      <c r="H31" s="392"/>
    </row>
    <row r="32" spans="1:8" ht="14.25">
      <c r="A32" s="402">
        <v>16</v>
      </c>
      <c r="B32" s="327" t="s">
        <v>794</v>
      </c>
      <c r="C32" s="91">
        <v>7130893004</v>
      </c>
      <c r="D32" s="53" t="s">
        <v>26</v>
      </c>
      <c r="E32" s="404">
        <f>VLOOKUP(C32,'SOR RATE'!A:D,4,0)</f>
        <v>161</v>
      </c>
      <c r="F32" s="53">
        <v>44</v>
      </c>
      <c r="G32" s="416">
        <f t="shared" si="1"/>
        <v>7084</v>
      </c>
      <c r="H32" s="392"/>
    </row>
    <row r="33" spans="1:8" ht="17.25" customHeight="1">
      <c r="A33" s="402">
        <v>17</v>
      </c>
      <c r="B33" s="327" t="s">
        <v>1020</v>
      </c>
      <c r="C33" s="91">
        <v>7130810102</v>
      </c>
      <c r="D33" s="53" t="s">
        <v>26</v>
      </c>
      <c r="E33" s="404">
        <f>VLOOKUP(C33,'SOR RATE'!A:D,4,0)</f>
        <v>349</v>
      </c>
      <c r="F33" s="53">
        <v>30</v>
      </c>
      <c r="G33" s="416">
        <f t="shared" si="1"/>
        <v>10470</v>
      </c>
      <c r="H33" s="392"/>
    </row>
    <row r="34" spans="1:8" ht="18.75" customHeight="1">
      <c r="A34" s="402">
        <v>18</v>
      </c>
      <c r="B34" s="327" t="s">
        <v>175</v>
      </c>
      <c r="C34" s="328">
        <v>7130311008</v>
      </c>
      <c r="D34" s="53" t="s">
        <v>307</v>
      </c>
      <c r="E34" s="404">
        <f>VLOOKUP(C34,'SOR RATE'!A:D,4,0)/1000</f>
        <v>15.99</v>
      </c>
      <c r="F34" s="53">
        <v>60</v>
      </c>
      <c r="G34" s="416">
        <f t="shared" si="1"/>
        <v>959.4</v>
      </c>
      <c r="H34" s="392"/>
    </row>
    <row r="35" spans="1:8" ht="16.5" customHeight="1">
      <c r="A35" s="402">
        <v>19</v>
      </c>
      <c r="B35" s="327" t="s">
        <v>1022</v>
      </c>
      <c r="C35" s="328">
        <v>7130390007</v>
      </c>
      <c r="D35" s="53" t="s">
        <v>26</v>
      </c>
      <c r="E35" s="404">
        <f>VLOOKUP(C35,'SOR RATE'!A:D,4,0)</f>
        <v>172</v>
      </c>
      <c r="F35" s="53">
        <v>10</v>
      </c>
      <c r="G35" s="416">
        <f t="shared" si="1"/>
        <v>1720</v>
      </c>
      <c r="H35" s="392"/>
    </row>
    <row r="36" spans="1:8" ht="15" customHeight="1">
      <c r="A36" s="402">
        <v>20</v>
      </c>
      <c r="B36" s="327" t="s">
        <v>1023</v>
      </c>
      <c r="C36" s="328">
        <v>7130390019</v>
      </c>
      <c r="D36" s="53" t="s">
        <v>26</v>
      </c>
      <c r="E36" s="404">
        <f>VLOOKUP(C36,'SOR RATE'!A:D,4,0)</f>
        <v>28</v>
      </c>
      <c r="F36" s="53">
        <v>10</v>
      </c>
      <c r="G36" s="416">
        <f t="shared" si="1"/>
        <v>280</v>
      </c>
      <c r="H36" s="392"/>
    </row>
    <row r="37" spans="1:8" ht="18" customHeight="1">
      <c r="A37" s="402">
        <v>21</v>
      </c>
      <c r="B37" s="327" t="s">
        <v>126</v>
      </c>
      <c r="C37" s="328">
        <v>7130320053</v>
      </c>
      <c r="D37" s="53" t="s">
        <v>26</v>
      </c>
      <c r="E37" s="404">
        <f>VLOOKUP(C37,'SOR RATE'!A:D,4,0)</f>
        <v>5</v>
      </c>
      <c r="F37" s="53">
        <v>530</v>
      </c>
      <c r="G37" s="416">
        <f t="shared" si="1"/>
        <v>2650</v>
      </c>
      <c r="H37" s="392"/>
    </row>
    <row r="38" spans="1:9" ht="15.75" customHeight="1">
      <c r="A38" s="402">
        <v>22</v>
      </c>
      <c r="B38" s="327" t="s">
        <v>822</v>
      </c>
      <c r="C38" s="328">
        <v>7130610206</v>
      </c>
      <c r="D38" s="53" t="s">
        <v>32</v>
      </c>
      <c r="E38" s="404">
        <f>VLOOKUP(C38,'SOR RATE'!A:D,4,0)/1000</f>
        <v>66.528</v>
      </c>
      <c r="F38" s="53">
        <v>70</v>
      </c>
      <c r="G38" s="416">
        <f t="shared" si="1"/>
        <v>4656.96</v>
      </c>
      <c r="H38" s="754"/>
      <c r="I38" s="727"/>
    </row>
    <row r="39" spans="1:9" ht="15">
      <c r="A39" s="398">
        <v>23</v>
      </c>
      <c r="B39" s="439" t="s">
        <v>937</v>
      </c>
      <c r="C39" s="468"/>
      <c r="D39" s="53"/>
      <c r="E39" s="53"/>
      <c r="F39" s="53"/>
      <c r="G39" s="441">
        <f>SUM(G9:G38)</f>
        <v>213088.08</v>
      </c>
      <c r="H39" s="442"/>
      <c r="I39" s="392"/>
    </row>
    <row r="40" spans="1:9" ht="17.25" customHeight="1">
      <c r="A40" s="53">
        <v>24</v>
      </c>
      <c r="B40" s="443" t="s">
        <v>936</v>
      </c>
      <c r="C40" s="445"/>
      <c r="D40" s="469"/>
      <c r="E40" s="328">
        <v>0.09</v>
      </c>
      <c r="F40" s="469"/>
      <c r="G40" s="417">
        <f>G39*E40</f>
        <v>19177.9272</v>
      </c>
      <c r="H40" s="442"/>
      <c r="I40" s="446"/>
    </row>
    <row r="41" spans="1:7" ht="18.75" customHeight="1">
      <c r="A41" s="55">
        <v>25</v>
      </c>
      <c r="B41" s="85" t="s">
        <v>824</v>
      </c>
      <c r="C41" s="447"/>
      <c r="D41" s="53" t="s">
        <v>1013</v>
      </c>
      <c r="E41" s="448">
        <f>145.2*1.086275*1.1112*1.0685</f>
        <v>187.27213435563596</v>
      </c>
      <c r="F41" s="429">
        <v>20</v>
      </c>
      <c r="G41" s="417">
        <f>F41*E41</f>
        <v>3745.442687112719</v>
      </c>
    </row>
    <row r="42" spans="1:7" ht="18.75" customHeight="1">
      <c r="A42" s="449" t="s">
        <v>176</v>
      </c>
      <c r="B42" s="443" t="s">
        <v>310</v>
      </c>
      <c r="C42" s="427"/>
      <c r="D42" s="450" t="s">
        <v>28</v>
      </c>
      <c r="E42" s="417">
        <f>1664*1.27*1.0891*1.086275*1.1112*1.0685</f>
        <v>2968.460981603261</v>
      </c>
      <c r="F42" s="53">
        <v>3.4</v>
      </c>
      <c r="G42" s="417">
        <f>F42*E42</f>
        <v>10092.767337451089</v>
      </c>
    </row>
    <row r="43" spans="1:8" ht="15.75" customHeight="1">
      <c r="A43" s="402">
        <v>27</v>
      </c>
      <c r="B43" s="327" t="s">
        <v>177</v>
      </c>
      <c r="C43" s="427"/>
      <c r="D43" s="453"/>
      <c r="E43" s="54"/>
      <c r="F43" s="454"/>
      <c r="G43" s="453">
        <v>35903.79</v>
      </c>
      <c r="H43" s="149"/>
    </row>
    <row r="44" spans="1:7" ht="30.75" customHeight="1">
      <c r="A44" s="402">
        <v>28</v>
      </c>
      <c r="B44" s="327" t="s">
        <v>412</v>
      </c>
      <c r="C44" s="427"/>
      <c r="D44" s="453"/>
      <c r="E44" s="54"/>
      <c r="F44" s="454"/>
      <c r="G44" s="453">
        <f>10334.37*1.1402*0.9368</f>
        <v>11038.547357803202</v>
      </c>
    </row>
    <row r="45" spans="1:8" ht="15.75" customHeight="1">
      <c r="A45" s="398">
        <v>29</v>
      </c>
      <c r="B45" s="439" t="s">
        <v>938</v>
      </c>
      <c r="C45" s="427"/>
      <c r="D45" s="453"/>
      <c r="E45" s="54"/>
      <c r="F45" s="454"/>
      <c r="G45" s="739">
        <f>G39+G40+G41+G42+G43+G44</f>
        <v>293046.554582367</v>
      </c>
      <c r="H45" s="455"/>
    </row>
    <row r="46" spans="1:8" ht="33" customHeight="1">
      <c r="A46" s="402">
        <v>30</v>
      </c>
      <c r="B46" s="443" t="s">
        <v>939</v>
      </c>
      <c r="C46" s="427"/>
      <c r="D46" s="453"/>
      <c r="E46" s="54">
        <v>0.11</v>
      </c>
      <c r="F46" s="454"/>
      <c r="G46" s="453">
        <f>G39*E46</f>
        <v>23439.6888</v>
      </c>
      <c r="H46" s="455"/>
    </row>
    <row r="47" spans="1:8" ht="16.5" customHeight="1">
      <c r="A47" s="402">
        <v>31</v>
      </c>
      <c r="B47" s="327" t="s">
        <v>1338</v>
      </c>
      <c r="C47" s="427"/>
      <c r="D47" s="417"/>
      <c r="E47" s="53"/>
      <c r="F47" s="454"/>
      <c r="G47" s="417">
        <f>G45+G46</f>
        <v>316486.243382367</v>
      </c>
      <c r="H47" s="171"/>
    </row>
    <row r="48" spans="1:7" ht="18" customHeight="1">
      <c r="A48" s="456">
        <v>32</v>
      </c>
      <c r="B48" s="457" t="s">
        <v>1339</v>
      </c>
      <c r="C48" s="473"/>
      <c r="D48" s="441"/>
      <c r="E48" s="398"/>
      <c r="F48" s="454"/>
      <c r="G48" s="441">
        <f>ROUND(G47,0)</f>
        <v>316486</v>
      </c>
    </row>
    <row r="49" spans="1:7" ht="14.25">
      <c r="A49" s="474"/>
      <c r="B49" s="64"/>
      <c r="C49" s="475"/>
      <c r="D49" s="476"/>
      <c r="E49" s="474"/>
      <c r="F49" s="477"/>
      <c r="G49" s="476"/>
    </row>
    <row r="50" spans="1:7" ht="19.5" customHeight="1">
      <c r="A50" s="463"/>
      <c r="B50" s="741" t="s">
        <v>827</v>
      </c>
      <c r="C50" s="740"/>
      <c r="D50" s="460"/>
      <c r="E50" s="460"/>
      <c r="F50" s="460"/>
      <c r="G50" s="460"/>
    </row>
    <row r="51" spans="1:7" ht="14.25">
      <c r="A51" s="459"/>
      <c r="B51" s="460"/>
      <c r="C51" s="460"/>
      <c r="D51" s="460"/>
      <c r="E51" s="460"/>
      <c r="F51" s="460"/>
      <c r="G51" s="460"/>
    </row>
  </sheetData>
  <sheetProtection/>
  <mergeCells count="14">
    <mergeCell ref="A21:A22"/>
    <mergeCell ref="A23:A26"/>
    <mergeCell ref="A18:A20"/>
    <mergeCell ref="A6:A7"/>
    <mergeCell ref="J13:M13"/>
    <mergeCell ref="B1:E1"/>
    <mergeCell ref="B3:G3"/>
    <mergeCell ref="E6:E7"/>
    <mergeCell ref="F6:G6"/>
    <mergeCell ref="J12:N12"/>
    <mergeCell ref="B6:B7"/>
    <mergeCell ref="C6:C7"/>
    <mergeCell ref="D6:D7"/>
    <mergeCell ref="J11:M11"/>
  </mergeCells>
  <conditionalFormatting sqref="B39:B40">
    <cfRule type="cellIs" priority="1" dxfId="0" operator="equal" stopIfTrue="1">
      <formula>"?"</formula>
    </cfRule>
  </conditionalFormatting>
  <printOptions/>
  <pageMargins left="0.91" right="0.16" top="0.73" bottom="0.23" header="0.5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</dc:creator>
  <cp:keywords/>
  <dc:description/>
  <cp:lastModifiedBy>hcl</cp:lastModifiedBy>
  <cp:lastPrinted>2015-07-28T05:20:33Z</cp:lastPrinted>
  <dcterms:created xsi:type="dcterms:W3CDTF">2007-07-20T07:15:19Z</dcterms:created>
  <dcterms:modified xsi:type="dcterms:W3CDTF">2015-07-29T09:54:46Z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